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0" windowWidth="16605" windowHeight="9315"/>
  </bookViews>
  <sheets>
    <sheet name="Notes" sheetId="2" r:id="rId1"/>
    <sheet name="Data" sheetId="1" r:id="rId2"/>
  </sheets>
  <calcPr calcId="145621"/>
</workbook>
</file>

<file path=xl/calcChain.xml><?xml version="1.0" encoding="utf-8"?>
<calcChain xmlns="http://schemas.openxmlformats.org/spreadsheetml/2006/main">
  <c r="N78" i="1" l="1"/>
  <c r="N79" i="1" s="1"/>
  <c r="M79" i="1"/>
  <c r="N75" i="1" l="1"/>
  <c r="N81" i="1"/>
  <c r="N31" i="1"/>
  <c r="N29" i="1"/>
  <c r="L31" i="1"/>
  <c r="K31" i="1"/>
  <c r="L29" i="1"/>
  <c r="K29" i="1"/>
  <c r="L27" i="1"/>
  <c r="K27" i="1"/>
  <c r="L25" i="1"/>
  <c r="K25" i="1"/>
  <c r="N39" i="1" l="1"/>
  <c r="N40" i="1" s="1"/>
  <c r="L40" i="1"/>
  <c r="L42" i="1" l="1"/>
  <c r="K38" i="1"/>
  <c r="L38" i="1"/>
  <c r="N37" i="1"/>
  <c r="N38" i="1" s="1"/>
  <c r="N33" i="1"/>
  <c r="N34" i="1" s="1"/>
  <c r="L36" i="1"/>
  <c r="K36" i="1"/>
  <c r="L34" i="1"/>
  <c r="K34" i="1"/>
  <c r="L79" i="1" l="1"/>
  <c r="K79" i="1"/>
  <c r="K40" i="1" l="1"/>
  <c r="D42" i="1"/>
  <c r="C42" i="1"/>
  <c r="B42" i="1"/>
  <c r="E42" i="1"/>
  <c r="K42" i="1"/>
  <c r="J31" i="1" l="1"/>
  <c r="I31" i="1"/>
  <c r="J29" i="1"/>
  <c r="I29" i="1"/>
  <c r="J27" i="1"/>
  <c r="I27" i="1"/>
  <c r="J25" i="1"/>
  <c r="I25" i="1"/>
  <c r="N26" i="1"/>
  <c r="N27" i="1" s="1"/>
  <c r="N24" i="1"/>
  <c r="N25" i="1" s="1"/>
  <c r="N44" i="1" l="1"/>
  <c r="J79" i="1" l="1"/>
  <c r="I42" i="1" l="1"/>
  <c r="N41" i="1"/>
  <c r="N42" i="1" s="1"/>
  <c r="J38" i="1"/>
  <c r="G76" i="1" l="1"/>
  <c r="F76" i="1"/>
  <c r="N82" i="1" l="1"/>
  <c r="J42" i="1"/>
  <c r="H42" i="1"/>
  <c r="G42" i="1"/>
  <c r="F42" i="1"/>
  <c r="I79" i="1"/>
  <c r="J36" i="1"/>
  <c r="I36" i="1"/>
  <c r="J34" i="1"/>
  <c r="I34" i="1"/>
  <c r="J40" i="1" l="1"/>
  <c r="H40" i="1"/>
  <c r="I40" i="1"/>
  <c r="G40" i="1"/>
  <c r="F40" i="1"/>
  <c r="E40" i="1"/>
  <c r="D40" i="1"/>
  <c r="C40" i="1"/>
  <c r="B40" i="1"/>
  <c r="H36" i="1"/>
  <c r="G36" i="1"/>
  <c r="H34" i="1"/>
  <c r="G34" i="1"/>
  <c r="I38" i="1" l="1"/>
  <c r="H79" i="1" l="1"/>
  <c r="H38" i="1" l="1"/>
  <c r="G38" i="1"/>
  <c r="N83" i="1" l="1"/>
  <c r="N85" i="1"/>
  <c r="G79" i="1" l="1"/>
  <c r="F79" i="1" l="1"/>
  <c r="N35" i="1" l="1"/>
  <c r="N36" i="1" s="1"/>
  <c r="E79" i="1" l="1"/>
</calcChain>
</file>

<file path=xl/sharedStrings.xml><?xml version="1.0" encoding="utf-8"?>
<sst xmlns="http://schemas.openxmlformats.org/spreadsheetml/2006/main" count="143" uniqueCount="92">
  <si>
    <t>2016 Alberta Tourism Market Monitor</t>
  </si>
  <si>
    <t>Alberta Culture and Tourism</t>
  </si>
  <si>
    <t xml:space="preserve"> </t>
  </si>
  <si>
    <t>Jan.</t>
  </si>
  <si>
    <t>Feb.</t>
  </si>
  <si>
    <t>Mar.</t>
  </si>
  <si>
    <t>Apr.</t>
  </si>
  <si>
    <t>May</t>
  </si>
  <si>
    <t>June</t>
  </si>
  <si>
    <t>July</t>
  </si>
  <si>
    <t>August</t>
  </si>
  <si>
    <t>Sept.</t>
  </si>
  <si>
    <t>Oct.</t>
  </si>
  <si>
    <t>Nov.</t>
  </si>
  <si>
    <t>Dec.</t>
  </si>
  <si>
    <t>Yr-to-Date</t>
  </si>
  <si>
    <r>
      <t xml:space="preserve">Air Passengers 2016 (000's of arrivals and departures) </t>
    </r>
    <r>
      <rPr>
        <b/>
        <vertAlign val="superscript"/>
        <sz val="8"/>
        <color theme="0"/>
        <rFont val="Arial"/>
        <family val="2"/>
      </rPr>
      <t>1</t>
    </r>
  </si>
  <si>
    <t>Edmonton International Total</t>
  </si>
  <si>
    <t xml:space="preserve">     Per cent change from 2015</t>
  </si>
  <si>
    <t xml:space="preserve">  Domestic</t>
  </si>
  <si>
    <t xml:space="preserve">  Transborder</t>
  </si>
  <si>
    <t xml:space="preserve">  International</t>
  </si>
  <si>
    <t>Calgary International Total</t>
  </si>
  <si>
    <t>Fort McMurray International Total</t>
  </si>
  <si>
    <r>
      <t xml:space="preserve">Highway Count 2016 (000's of vehicles) </t>
    </r>
    <r>
      <rPr>
        <b/>
        <vertAlign val="superscript"/>
        <sz val="8"/>
        <color theme="0"/>
        <rFont val="Arial"/>
        <family val="2"/>
      </rPr>
      <t>2</t>
    </r>
  </si>
  <si>
    <t>Hwy 1 -Sask border w-bound</t>
  </si>
  <si>
    <t>Hwy 1 - Banff Pk Gate (2-way)</t>
  </si>
  <si>
    <t>Hwy 16 - Jasper Pk Gate (2 way)</t>
  </si>
  <si>
    <t xml:space="preserve">Hwy 16 - Blackfoot w-bound           </t>
  </si>
  <si>
    <r>
      <t xml:space="preserve">National Park Attendance (000’s of visitors) 2016 </t>
    </r>
    <r>
      <rPr>
        <b/>
        <vertAlign val="superscript"/>
        <sz val="8"/>
        <color theme="0"/>
        <rFont val="Arial"/>
        <family val="2"/>
      </rPr>
      <t>3</t>
    </r>
    <r>
      <rPr>
        <b/>
        <sz val="8"/>
        <color theme="0"/>
        <rFont val="Arial"/>
        <family val="2"/>
      </rPr>
      <t xml:space="preserve"> Does not include Group Tours</t>
    </r>
  </si>
  <si>
    <t>Banff</t>
  </si>
  <si>
    <t>Jasper</t>
  </si>
  <si>
    <t>Waterton Lakes</t>
  </si>
  <si>
    <r>
      <t>Employment (000’s of persons) 2016 Seasonally Adjusted</t>
    </r>
    <r>
      <rPr>
        <b/>
        <vertAlign val="superscript"/>
        <sz val="8"/>
        <color theme="0"/>
        <rFont val="Arial"/>
        <family val="2"/>
      </rPr>
      <t xml:space="preserve"> 4</t>
    </r>
  </si>
  <si>
    <t>Accommodation and Food Services</t>
  </si>
  <si>
    <t xml:space="preserve">Edmonton Occupancy Rate </t>
  </si>
  <si>
    <t>Point change from 2015</t>
  </si>
  <si>
    <t xml:space="preserve">Average Daily Room Rate </t>
  </si>
  <si>
    <t>Variance from 2015</t>
  </si>
  <si>
    <t xml:space="preserve">Revenue per available room </t>
  </si>
  <si>
    <t>Calgary Occupancy Rate</t>
  </si>
  <si>
    <t>Average Daily Room Rate</t>
  </si>
  <si>
    <t>Revenue per available room</t>
  </si>
  <si>
    <t>Alberta Resorts Occupancy Rate</t>
  </si>
  <si>
    <t>Total Alberta (excl. Resorts)
 Occupancy Rate</t>
  </si>
  <si>
    <t>.</t>
  </si>
  <si>
    <t>Total Receipts for Alberta</t>
  </si>
  <si>
    <t>Canadian Dollar/U.S. Dollar (noon)</t>
  </si>
  <si>
    <t>Canadian Dollar/ Euro</t>
  </si>
  <si>
    <t>Canadian Dollar/ Great British Pounds</t>
  </si>
  <si>
    <t>Cushing, OK Spot Price (US Dollar per Barrel)</t>
  </si>
  <si>
    <t>Total Value of Hotel Projects Inventory</t>
  </si>
  <si>
    <t xml:space="preserve">Note : New monthly figures are shown in bold type. Revisions will be bolded. </t>
  </si>
  <si>
    <t>Source: Edmonton International Airport, Calgary International Airport and Fort McMurray International Airport Websites</t>
  </si>
  <si>
    <r>
      <t xml:space="preserve">2. Highway Traffic: </t>
    </r>
    <r>
      <rPr>
        <sz val="10"/>
        <rFont val="Arial"/>
        <family val="2"/>
      </rPr>
      <t>These data are monthly totals. The monthly average daily traffic (average number of vehicles per day) is calculated by dividing the monthly total by the number of days in the month passing the counter locations and in the direction indicated for a particular month. Automatic Traffic Recorders counts all vehicles by direction. Year-to-date is a cumulative total for all vehicles</t>
    </r>
    <r>
      <rPr>
        <b/>
        <sz val="10"/>
        <rFont val="Arial"/>
        <family val="2"/>
      </rPr>
      <t xml:space="preserve">. </t>
    </r>
    <r>
      <rPr>
        <sz val="10"/>
        <rFont val="Arial"/>
        <family val="2"/>
      </rPr>
      <t xml:space="preserve"> </t>
    </r>
  </si>
  <si>
    <t>Source: Alberta Transportation's Automatic Traffic Recorders (ATR). http://www.transportation.alberta.ca/3459.htm</t>
  </si>
  <si>
    <r>
      <t>3. National Park Attendance</t>
    </r>
    <r>
      <rPr>
        <sz val="10"/>
        <rFont val="Arial"/>
        <family val="2"/>
      </rPr>
      <t xml:space="preserve"> - Attendance is reported as the number of visits to National Parks in Alberta.  Data are preliminary unless otherwise noted.</t>
    </r>
  </si>
  <si>
    <t xml:space="preserve">Banff National Park and Jasper National Park reflect independent travellers only, and do not include people travelling as part of a tour group; however, data are included in the annual edition of the Monthly Market Monitor.     </t>
  </si>
  <si>
    <t>Source: Parks Canada</t>
  </si>
  <si>
    <r>
      <t>4. Employment Food and Accommodation Sector</t>
    </r>
    <r>
      <rPr>
        <sz val="10"/>
        <rFont val="Arial"/>
        <family val="2"/>
      </rPr>
      <t xml:space="preserve"> - The employment figure represents all persons who worked for pay or profit or unpaid work in the food services and accommodation sector, including businesses or other ventures owned or operated by a related family member(s) during the reference period of the survey. The year-to-date total is an average for the year. </t>
    </r>
  </si>
  <si>
    <t>Source: Statistics Canada, Labour Force Survey</t>
  </si>
  <si>
    <t>Other Alberta includes Lethbridge, Red Deer and other Alberta communities</t>
  </si>
  <si>
    <t>Revenue per available room is calculated using the occupancy rate and average daily room rate.</t>
  </si>
  <si>
    <t>Source: CBRE Hotels Trends in the Hotel Industry National Market Report, with reproduction and use of information subject to CBRE Disclaimer and Restrictions as detailed at www.cbre.ca</t>
  </si>
  <si>
    <t>Source: Statistics Canada, Food Services and Drinking Places</t>
  </si>
  <si>
    <t>Source: Alberta Culture</t>
  </si>
  <si>
    <t>Source: Bank of Canada</t>
  </si>
  <si>
    <t>Source: Cushing, OK WTI Spot Price FOB</t>
  </si>
  <si>
    <t>Source: Government of Alberta. http://majorprojects.alberta.ca/</t>
  </si>
  <si>
    <t>9.8*</t>
  </si>
  <si>
    <t>Other Alberta** Occupancy Rate</t>
  </si>
  <si>
    <t>**Other Alberta includes Lethbridge, Red Deer, and other Alberta communities.</t>
  </si>
  <si>
    <t>Visitor Attendance***</t>
  </si>
  <si>
    <t>***Please note some of the historical sites have changed their hours of operation - see Notes section for details.</t>
  </si>
  <si>
    <t xml:space="preserve">Elk Island </t>
  </si>
  <si>
    <t xml:space="preserve">Wood Buffalo </t>
  </si>
  <si>
    <t>*Commercial Air Service suspended from May 5 - June 10 due to wildfire.</t>
  </si>
  <si>
    <r>
      <t>Accommodation Indices for Major Regions 2016</t>
    </r>
    <r>
      <rPr>
        <b/>
        <vertAlign val="superscript"/>
        <sz val="8"/>
        <color theme="0"/>
        <rFont val="Arial"/>
        <family val="2"/>
      </rPr>
      <t xml:space="preserve"> 5</t>
    </r>
  </si>
  <si>
    <r>
      <t>5. Accommodation Indices for Major Regions</t>
    </r>
    <r>
      <rPr>
        <sz val="10"/>
        <rFont val="Arial"/>
        <family val="2"/>
      </rPr>
      <t xml:space="preserve"> - Occupancy rates and average daily room rates are based on monthly averages of all reporting hotels, motels and motor hotels in each designated region.  Alberta Resorts includes the resort communities of Banff, Lake Louise, Kananaskis, Canmore and Jasper.</t>
    </r>
  </si>
  <si>
    <r>
      <t xml:space="preserve">Food Services and Drinking Places 2016 ($ Millions) unadjusted </t>
    </r>
    <r>
      <rPr>
        <b/>
        <vertAlign val="superscript"/>
        <sz val="8"/>
        <color theme="0"/>
        <rFont val="Arial"/>
        <family val="2"/>
      </rPr>
      <t>6</t>
    </r>
  </si>
  <si>
    <r>
      <t xml:space="preserve">Historic Sites and Museums 2016 (000's of visitors) </t>
    </r>
    <r>
      <rPr>
        <b/>
        <vertAlign val="superscript"/>
        <sz val="8"/>
        <color theme="0"/>
        <rFont val="Arial"/>
        <family val="2"/>
      </rPr>
      <t>7</t>
    </r>
  </si>
  <si>
    <r>
      <t>Exchange Rates 2016</t>
    </r>
    <r>
      <rPr>
        <b/>
        <vertAlign val="superscript"/>
        <sz val="8"/>
        <color theme="0"/>
        <rFont val="Arial"/>
        <family val="2"/>
      </rPr>
      <t xml:space="preserve"> 8</t>
    </r>
  </si>
  <si>
    <r>
      <t xml:space="preserve">Major Tourism Projects Valued $5 million or Greater 2016 ($ Millions) </t>
    </r>
    <r>
      <rPr>
        <b/>
        <vertAlign val="superscript"/>
        <sz val="8"/>
        <color theme="0"/>
        <rFont val="Arial"/>
        <family val="2"/>
      </rPr>
      <t>10</t>
    </r>
  </si>
  <si>
    <r>
      <t>Oil Price: Western Texas Intermediate (WTI) 2016</t>
    </r>
    <r>
      <rPr>
        <b/>
        <vertAlign val="superscript"/>
        <sz val="8"/>
        <color theme="0"/>
        <rFont val="Arial"/>
        <family val="2"/>
      </rPr>
      <t xml:space="preserve"> 9</t>
    </r>
  </si>
  <si>
    <r>
      <t>1. Air Passengers</t>
    </r>
    <r>
      <rPr>
        <sz val="10"/>
        <rFont val="Arial"/>
        <family val="2"/>
      </rPr>
      <t xml:space="preserve"> - Numbers are preliminary estimates of air passenger arrivals and departures at the Edmonton International and Calgary International Airports. From September 2015, total domestic passengers at Fort McMurray International Airport has been added.</t>
    </r>
  </si>
  <si>
    <r>
      <t>6. Food Services and Drinking Places -</t>
    </r>
    <r>
      <rPr>
        <sz val="10"/>
        <rFont val="Arial"/>
        <family val="2"/>
      </rPr>
      <t xml:space="preserve"> The monthly survey of Food Services and Drinking Places provides estimates of the value of sales and the number of locations of restaurants, caterers, and drinking places by province and by industry at the North American Industry Classification System (NAICS) four-digit level. Includes total receipts from restaurants, caterers and taverns for chain and independent establishments. The target population is the 3 digit NAICS level of 722, which includes: Full-service restaurants, limited service eating places, special food places and drinking places.  The year-to-date total is an average for the year.</t>
    </r>
  </si>
  <si>
    <r>
      <t>7. Historic Sites and Museums</t>
    </r>
    <r>
      <rPr>
        <sz val="10"/>
        <color theme="1"/>
        <rFont val="Arial"/>
        <family val="2"/>
      </rPr>
      <t xml:space="preserve"> - Visitor attendance figures are monthly totals based on fifteen historic sites, the Royal Tyrrell Museum of Paleontology and the Tyrrell Field Station. **The Royal Alberta Museum closed on December 6, 2015. </t>
    </r>
  </si>
  <si>
    <r>
      <t xml:space="preserve">8. </t>
    </r>
    <r>
      <rPr>
        <b/>
        <sz val="10"/>
        <rFont val="Arial"/>
        <family val="2"/>
      </rPr>
      <t>Exchange Rate-</t>
    </r>
    <r>
      <rPr>
        <sz val="10"/>
        <rFont val="Arial"/>
        <family val="2"/>
      </rPr>
      <t xml:space="preserve"> this is the average monthly exchange rate.</t>
    </r>
  </si>
  <si>
    <r>
      <t xml:space="preserve">9. Western Texas Intermediate - </t>
    </r>
    <r>
      <rPr>
        <sz val="10"/>
        <color theme="1"/>
        <rFont val="Arial"/>
        <family val="2"/>
      </rPr>
      <t>This is the average monthly oil price</t>
    </r>
  </si>
  <si>
    <r>
      <t xml:space="preserve">10. Major hotel projects in Alberta </t>
    </r>
    <r>
      <rPr>
        <sz val="10"/>
        <rFont val="Arial"/>
        <family val="2"/>
      </rPr>
      <t>-This is the inventory of hotel projects in Alberta, including new hotels and renovations valued at $5 million or greater. It is not a complete list of hotel projects. The project stages included in the reported number are: announced, under construction and completed. If the project is completed, it will be removed from the inventory after 30 days from completion. More information on other tourism and recreation projects is available on the website provided below.</t>
    </r>
  </si>
  <si>
    <t>Sources:  Edmonton International Airport, Calgary International Airport, Fort McMurray International Airport, Alberta Transportation, Parks Canada, Statistics Canada.</t>
  </si>
  <si>
    <t>Sources:  CBRE Hotels Trends in the Hotel Industry National Market Report, Statistics Canada, Alberta Culture, Bank of Canada, WTI, Government of Alberta.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</si>
</sst>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0_);_(* \(#,##0.0\);_(* &quot;-&quot;??_);_(@_)"/>
    <numFmt numFmtId="165" formatCode="0.0%"/>
    <numFmt numFmtId="166" formatCode="0.0"/>
    <numFmt numFmtId="167" formatCode="&quot;$&quot;#,##0.0_);[Red]\(&quot;$&quot;#,##0.0\)"/>
    <numFmt numFmtId="168" formatCode="_(* #,##0.0_);_(* \(#,##0.0\);_(* &quot;-&quot;?_);_(@_)"/>
  </numFmts>
  <fonts count="21" x14ac:knownFonts="1">
    <font>
      <sz val="11"/>
      <color theme="1"/>
      <name val="Calibri"/>
      <family val="2"/>
      <scheme val="minor"/>
    </font>
    <font>
      <sz val="11"/>
      <color theme="1"/>
      <name val="Calibri"/>
      <family val="2"/>
      <scheme val="minor"/>
    </font>
    <font>
      <b/>
      <sz val="8"/>
      <name val="Arial"/>
      <family val="2"/>
    </font>
    <font>
      <sz val="8"/>
      <name val="Arial"/>
      <family val="2"/>
    </font>
    <font>
      <b/>
      <sz val="10"/>
      <name val="Times New Roman"/>
      <family val="1"/>
    </font>
    <font>
      <sz val="10"/>
      <name val="Times New Roman"/>
      <family val="1"/>
    </font>
    <font>
      <b/>
      <sz val="10"/>
      <name val="Arial"/>
      <family val="2"/>
    </font>
    <font>
      <sz val="10"/>
      <name val="Arial"/>
      <family val="2"/>
    </font>
    <font>
      <b/>
      <sz val="8"/>
      <color theme="1"/>
      <name val="Arial"/>
      <family val="2"/>
    </font>
    <font>
      <sz val="11"/>
      <color theme="1"/>
      <name val="Arial"/>
      <family val="2"/>
    </font>
    <font>
      <b/>
      <sz val="12"/>
      <color theme="0"/>
      <name val="Arial"/>
      <family val="2"/>
    </font>
    <font>
      <sz val="12"/>
      <color theme="0"/>
      <name val="Arial"/>
      <family val="2"/>
    </font>
    <font>
      <b/>
      <sz val="8"/>
      <color theme="0"/>
      <name val="Arial"/>
      <family val="2"/>
    </font>
    <font>
      <b/>
      <vertAlign val="superscript"/>
      <sz val="8"/>
      <color theme="0"/>
      <name val="Arial"/>
      <family val="2"/>
    </font>
    <font>
      <sz val="8"/>
      <color theme="0"/>
      <name val="Arial"/>
      <family val="2"/>
    </font>
    <font>
      <sz val="10"/>
      <color theme="1"/>
      <name val="Arial"/>
      <family val="2"/>
    </font>
    <font>
      <sz val="8"/>
      <color theme="1"/>
      <name val="Arial"/>
      <family val="2"/>
    </font>
    <font>
      <b/>
      <sz val="10"/>
      <color theme="1"/>
      <name val="Arial"/>
      <family val="2"/>
    </font>
    <font>
      <sz val="10"/>
      <color theme="1"/>
      <name val="Calibri"/>
      <family val="2"/>
      <scheme val="minor"/>
    </font>
    <font>
      <b/>
      <sz val="11"/>
      <color theme="1"/>
      <name val="Calibri"/>
      <family val="2"/>
      <scheme val="minor"/>
    </font>
    <font>
      <b/>
      <sz val="11"/>
      <name val="Arial"/>
      <family val="2"/>
    </font>
  </fonts>
  <fills count="5">
    <fill>
      <patternFill patternType="none"/>
    </fill>
    <fill>
      <patternFill patternType="gray125"/>
    </fill>
    <fill>
      <patternFill patternType="solid">
        <fgColor rgb="FF6E3319"/>
        <bgColor indexed="64"/>
      </patternFill>
    </fill>
    <fill>
      <patternFill patternType="solid">
        <fgColor rgb="FFC05017"/>
        <bgColor indexed="64"/>
      </patternFill>
    </fill>
    <fill>
      <patternFill patternType="solid">
        <fgColor rgb="FFFDCA9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applyBorder="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applyBorder="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xf numFmtId="0" fontId="7" fillId="0" borderId="0"/>
    <xf numFmtId="0" fontId="7" fillId="0" borderId="0" applyBorder="0"/>
    <xf numFmtId="0" fontId="7" fillId="0" borderId="0" applyBorder="0"/>
    <xf numFmtId="0" fontId="7" fillId="0" borderId="0"/>
    <xf numFmtId="0" fontId="7" fillId="0" borderId="0"/>
  </cellStyleXfs>
  <cellXfs count="166">
    <xf numFmtId="0" fontId="0" fillId="0" borderId="0" xfId="0"/>
    <xf numFmtId="0" fontId="0" fillId="0" borderId="0" xfId="0"/>
    <xf numFmtId="164" fontId="3" fillId="0" borderId="7" xfId="1" applyNumberFormat="1" applyFont="1" applyBorder="1" applyAlignment="1">
      <alignment horizontal="right"/>
    </xf>
    <xf numFmtId="165" fontId="3" fillId="0" borderId="7" xfId="0" applyNumberFormat="1" applyFont="1" applyBorder="1" applyAlignment="1">
      <alignment horizontal="right"/>
    </xf>
    <xf numFmtId="165" fontId="2" fillId="0" borderId="7" xfId="0" applyNumberFormat="1" applyFont="1" applyBorder="1" applyAlignment="1">
      <alignment horizontal="right"/>
    </xf>
    <xf numFmtId="165" fontId="3" fillId="0" borderId="7" xfId="0" applyNumberFormat="1" applyFont="1" applyFill="1" applyBorder="1" applyAlignment="1">
      <alignment horizontal="right"/>
    </xf>
    <xf numFmtId="165" fontId="3" fillId="0" borderId="7" xfId="0" applyNumberFormat="1" applyFont="1" applyBorder="1"/>
    <xf numFmtId="165" fontId="2" fillId="0" borderId="7" xfId="0" applyNumberFormat="1" applyFont="1" applyBorder="1"/>
    <xf numFmtId="0" fontId="3" fillId="0" borderId="7" xfId="0" applyFont="1" applyBorder="1" applyAlignment="1">
      <alignment horizontal="right"/>
    </xf>
    <xf numFmtId="165" fontId="3" fillId="0" borderId="7" xfId="3" applyNumberFormat="1" applyFont="1" applyBorder="1"/>
    <xf numFmtId="0" fontId="3" fillId="0" borderId="7" xfId="0" applyNumberFormat="1" applyFont="1" applyBorder="1" applyAlignment="1">
      <alignment horizontal="right"/>
    </xf>
    <xf numFmtId="166" fontId="3" fillId="0" borderId="7" xfId="0" applyNumberFormat="1" applyFont="1" applyBorder="1" applyAlignment="1">
      <alignment horizontal="right"/>
    </xf>
    <xf numFmtId="0" fontId="2" fillId="0" borderId="7" xfId="0" applyNumberFormat="1" applyFont="1" applyFill="1" applyBorder="1" applyAlignment="1">
      <alignment horizontal="right"/>
    </xf>
    <xf numFmtId="0" fontId="3" fillId="0" borderId="7" xfId="1" applyNumberFormat="1" applyFont="1" applyFill="1" applyBorder="1" applyAlignment="1">
      <alignment horizontal="right"/>
    </xf>
    <xf numFmtId="165" fontId="2" fillId="0" borderId="7" xfId="0" applyNumberFormat="1" applyFont="1" applyFill="1" applyBorder="1" applyAlignment="1">
      <alignment horizontal="right"/>
    </xf>
    <xf numFmtId="166" fontId="2" fillId="0" borderId="7" xfId="0" applyNumberFormat="1" applyFont="1" applyFill="1" applyBorder="1" applyAlignment="1">
      <alignment horizontal="right"/>
    </xf>
    <xf numFmtId="8" fontId="2" fillId="0" borderId="11" xfId="4" applyNumberFormat="1" applyFont="1" applyFill="1" applyBorder="1" applyAlignment="1">
      <alignment horizontal="right"/>
    </xf>
    <xf numFmtId="165" fontId="2" fillId="0" borderId="7" xfId="4" applyNumberFormat="1" applyFont="1" applyBorder="1"/>
    <xf numFmtId="166" fontId="2" fillId="0" borderId="7" xfId="6" applyNumberFormat="1" applyFont="1" applyFill="1" applyBorder="1" applyAlignment="1">
      <alignment horizontal="right"/>
    </xf>
    <xf numFmtId="165" fontId="2" fillId="0" borderId="7" xfId="4" applyNumberFormat="1" applyFont="1" applyFill="1" applyBorder="1" applyAlignment="1">
      <alignment horizontal="right"/>
    </xf>
    <xf numFmtId="0" fontId="12" fillId="3" borderId="8" xfId="0" applyFont="1" applyFill="1" applyBorder="1" applyAlignment="1">
      <alignment horizontal="left"/>
    </xf>
    <xf numFmtId="0" fontId="12" fillId="3" borderId="9" xfId="0" applyFont="1" applyFill="1" applyBorder="1" applyAlignment="1">
      <alignment horizontal="left"/>
    </xf>
    <xf numFmtId="0" fontId="12"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12" fillId="3" borderId="9" xfId="0" applyFont="1" applyFill="1" applyBorder="1" applyAlignment="1"/>
    <xf numFmtId="0" fontId="14" fillId="3" borderId="10" xfId="0" applyFont="1" applyFill="1" applyBorder="1" applyAlignment="1"/>
    <xf numFmtId="0" fontId="12" fillId="3" borderId="10" xfId="0" applyFont="1" applyFill="1" applyBorder="1" applyAlignment="1"/>
    <xf numFmtId="164" fontId="2" fillId="0" borderId="7" xfId="1" applyNumberFormat="1" applyFont="1" applyFill="1" applyBorder="1" applyAlignment="1">
      <alignment horizontal="right"/>
    </xf>
    <xf numFmtId="0" fontId="3" fillId="0" borderId="0" xfId="0" applyFont="1" applyFill="1" applyBorder="1"/>
    <xf numFmtId="164" fontId="2" fillId="0" borderId="7" xfId="1" applyNumberFormat="1" applyFont="1" applyBorder="1" applyAlignment="1">
      <alignment horizontal="right"/>
    </xf>
    <xf numFmtId="0" fontId="2" fillId="0" borderId="7" xfId="0" applyFont="1" applyBorder="1" applyAlignment="1">
      <alignment horizontal="right"/>
    </xf>
    <xf numFmtId="164" fontId="3" fillId="0" borderId="7" xfId="1" applyNumberFormat="1" applyFont="1" applyFill="1" applyBorder="1" applyAlignment="1">
      <alignment horizontal="right"/>
    </xf>
    <xf numFmtId="0" fontId="14" fillId="3" borderId="9" xfId="0" applyFont="1" applyFill="1" applyBorder="1" applyAlignment="1"/>
    <xf numFmtId="2" fontId="12" fillId="3" borderId="10" xfId="0" applyNumberFormat="1" applyFont="1" applyFill="1" applyBorder="1" applyAlignment="1"/>
    <xf numFmtId="2" fontId="8" fillId="0" borderId="7" xfId="0" applyNumberFormat="1" applyFont="1" applyBorder="1"/>
    <xf numFmtId="0" fontId="8" fillId="0" borderId="7" xfId="0" applyFont="1" applyBorder="1"/>
    <xf numFmtId="0" fontId="16" fillId="0" borderId="7" xfId="0" applyFont="1" applyBorder="1"/>
    <xf numFmtId="2" fontId="16" fillId="0" borderId="7" xfId="0" applyNumberFormat="1" applyFont="1" applyBorder="1"/>
    <xf numFmtId="8" fontId="9" fillId="0" borderId="0" xfId="0" applyNumberFormat="1" applyFont="1"/>
    <xf numFmtId="165" fontId="3" fillId="0" borderId="7" xfId="4" applyNumberFormat="1" applyFont="1" applyBorder="1"/>
    <xf numFmtId="10" fontId="9" fillId="0" borderId="0" xfId="3" applyNumberFormat="1" applyFont="1"/>
    <xf numFmtId="168" fontId="9" fillId="0" borderId="0" xfId="0" applyNumberFormat="1" applyFont="1"/>
    <xf numFmtId="8" fontId="3" fillId="0" borderId="11" xfId="4" applyNumberFormat="1" applyFont="1" applyFill="1" applyBorder="1" applyAlignment="1">
      <alignment horizontal="right"/>
    </xf>
    <xf numFmtId="166" fontId="2" fillId="0" borderId="7" xfId="0" applyNumberFormat="1" applyFont="1" applyBorder="1" applyAlignment="1">
      <alignment horizontal="right"/>
    </xf>
    <xf numFmtId="5" fontId="16" fillId="0" borderId="7" xfId="2" applyNumberFormat="1" applyFont="1" applyBorder="1"/>
    <xf numFmtId="166" fontId="3" fillId="0" borderId="7" xfId="1" applyNumberFormat="1" applyFont="1" applyFill="1" applyBorder="1" applyAlignment="1">
      <alignment horizontal="right"/>
    </xf>
    <xf numFmtId="0" fontId="3" fillId="0" borderId="7" xfId="0" applyFont="1" applyFill="1" applyBorder="1" applyAlignment="1">
      <alignment horizontal="right"/>
    </xf>
    <xf numFmtId="5" fontId="8" fillId="0" borderId="7" xfId="2" applyNumberFormat="1" applyFont="1" applyBorder="1"/>
    <xf numFmtId="165" fontId="3" fillId="0" borderId="7" xfId="0" applyNumberFormat="1" applyFont="1" applyFill="1" applyBorder="1"/>
    <xf numFmtId="165" fontId="3" fillId="0" borderId="11" xfId="0" applyNumberFormat="1" applyFont="1" applyFill="1" applyBorder="1" applyAlignment="1">
      <alignment horizontal="right"/>
    </xf>
    <xf numFmtId="0" fontId="3" fillId="0" borderId="11" xfId="0" applyFont="1" applyFill="1" applyBorder="1" applyAlignment="1">
      <alignment horizontal="right"/>
    </xf>
    <xf numFmtId="166" fontId="3" fillId="0" borderId="11" xfId="0" applyNumberFormat="1" applyFont="1" applyFill="1" applyBorder="1" applyAlignment="1">
      <alignment horizontal="right"/>
    </xf>
    <xf numFmtId="8" fontId="3" fillId="0" borderId="11" xfId="0" applyNumberFormat="1" applyFont="1" applyFill="1" applyBorder="1" applyAlignment="1">
      <alignment horizontal="right"/>
    </xf>
    <xf numFmtId="0" fontId="3" fillId="4" borderId="7" xfId="0" applyFont="1" applyFill="1" applyBorder="1" applyAlignment="1">
      <alignment horizontal="center" vertical="center"/>
    </xf>
    <xf numFmtId="0" fontId="3" fillId="4" borderId="7" xfId="0" applyFont="1" applyFill="1" applyBorder="1" applyAlignment="1">
      <alignment horizontal="center"/>
    </xf>
    <xf numFmtId="44" fontId="3" fillId="4" borderId="7" xfId="2" applyFont="1" applyFill="1" applyBorder="1" applyAlignment="1">
      <alignment horizontal="center" vertical="center"/>
    </xf>
    <xf numFmtId="165" fontId="3" fillId="0" borderId="11" xfId="3" applyNumberFormat="1" applyFont="1" applyFill="1" applyBorder="1" applyAlignment="1">
      <alignment horizontal="right"/>
    </xf>
    <xf numFmtId="0" fontId="3" fillId="4" borderId="7" xfId="0" applyFont="1" applyFill="1" applyBorder="1" applyAlignment="1">
      <alignment horizontal="left" vertical="center"/>
    </xf>
    <xf numFmtId="165" fontId="2" fillId="0" borderId="11" xfId="0" applyNumberFormat="1" applyFont="1" applyFill="1" applyBorder="1" applyAlignment="1">
      <alignment horizontal="right"/>
    </xf>
    <xf numFmtId="0" fontId="2" fillId="0" borderId="11" xfId="0" applyFont="1" applyFill="1" applyBorder="1" applyAlignment="1">
      <alignment horizontal="right"/>
    </xf>
    <xf numFmtId="8" fontId="2" fillId="0" borderId="11" xfId="0" applyNumberFormat="1" applyFont="1" applyFill="1" applyBorder="1" applyAlignment="1">
      <alignment horizontal="right"/>
    </xf>
    <xf numFmtId="165" fontId="2" fillId="0" borderId="11" xfId="3" applyNumberFormat="1" applyFont="1" applyFill="1" applyBorder="1" applyAlignment="1">
      <alignment horizontal="right"/>
    </xf>
    <xf numFmtId="166" fontId="2" fillId="0" borderId="11" xfId="0" applyNumberFormat="1" applyFont="1" applyFill="1" applyBorder="1" applyAlignment="1">
      <alignment horizontal="right"/>
    </xf>
    <xf numFmtId="165" fontId="3" fillId="0" borderId="7" xfId="3" applyNumberFormat="1" applyFont="1" applyFill="1" applyBorder="1" applyAlignment="1">
      <alignment horizontal="right"/>
    </xf>
    <xf numFmtId="166" fontId="3" fillId="0" borderId="7" xfId="0" applyNumberFormat="1" applyFont="1" applyFill="1" applyBorder="1" applyAlignment="1">
      <alignment horizontal="right"/>
    </xf>
    <xf numFmtId="0" fontId="3" fillId="0" borderId="7" xfId="6" applyNumberFormat="1" applyFont="1" applyFill="1" applyBorder="1" applyAlignment="1">
      <alignment horizontal="right"/>
    </xf>
    <xf numFmtId="165" fontId="3" fillId="0" borderId="7" xfId="4" applyNumberFormat="1" applyFont="1" applyFill="1" applyBorder="1"/>
    <xf numFmtId="9" fontId="9" fillId="0" borderId="0" xfId="3" applyFont="1"/>
    <xf numFmtId="6" fontId="16" fillId="0" borderId="7" xfId="0" applyNumberFormat="1" applyFont="1" applyBorder="1" applyAlignment="1">
      <alignment horizontal="right"/>
    </xf>
    <xf numFmtId="164" fontId="9" fillId="0" borderId="0" xfId="0" applyNumberFormat="1" applyFont="1"/>
    <xf numFmtId="0" fontId="0" fillId="0" borderId="0" xfId="0"/>
    <xf numFmtId="0" fontId="0" fillId="0" borderId="0" xfId="0" applyBorder="1"/>
    <xf numFmtId="165" fontId="3" fillId="0" borderId="11" xfId="11" applyNumberFormat="1" applyFont="1" applyFill="1" applyBorder="1" applyAlignment="1">
      <alignment horizontal="right"/>
    </xf>
    <xf numFmtId="0" fontId="3" fillId="0" borderId="11" xfId="11" applyFont="1" applyFill="1" applyBorder="1" applyAlignment="1">
      <alignment horizontal="right"/>
    </xf>
    <xf numFmtId="8" fontId="3" fillId="0" borderId="11" xfId="11" applyNumberFormat="1" applyFont="1" applyFill="1" applyBorder="1" applyAlignment="1">
      <alignment horizontal="right"/>
    </xf>
    <xf numFmtId="166" fontId="3" fillId="0" borderId="11" xfId="11" applyNumberFormat="1" applyFont="1" applyFill="1" applyBorder="1" applyAlignment="1">
      <alignment horizontal="right"/>
    </xf>
    <xf numFmtId="0" fontId="3" fillId="0" borderId="11" xfId="1" applyNumberFormat="1" applyFont="1" applyFill="1" applyBorder="1" applyAlignment="1">
      <alignment horizontal="right"/>
    </xf>
    <xf numFmtId="0" fontId="3" fillId="0" borderId="7" xfId="0" applyNumberFormat="1" applyFont="1" applyFill="1" applyBorder="1" applyAlignment="1">
      <alignment horizontal="right"/>
    </xf>
    <xf numFmtId="0" fontId="3" fillId="0" borderId="0" xfId="0" applyFont="1" applyFill="1" applyBorder="1" applyAlignment="1">
      <alignment horizontal="right"/>
    </xf>
    <xf numFmtId="165" fontId="3" fillId="0" borderId="0" xfId="3" applyNumberFormat="1" applyFont="1" applyFill="1" applyBorder="1" applyAlignment="1">
      <alignment horizontal="right"/>
    </xf>
    <xf numFmtId="166" fontId="3" fillId="0" borderId="0" xfId="0" applyNumberFormat="1" applyFont="1" applyFill="1" applyBorder="1" applyAlignment="1">
      <alignment horizontal="right"/>
    </xf>
    <xf numFmtId="5" fontId="16" fillId="0" borderId="7" xfId="2" applyNumberFormat="1" applyFont="1" applyFill="1" applyBorder="1" applyAlignment="1" applyProtection="1"/>
    <xf numFmtId="0" fontId="18" fillId="0" borderId="0" xfId="0" applyFont="1"/>
    <xf numFmtId="166" fontId="3" fillId="0" borderId="0" xfId="0" applyNumberFormat="1" applyFont="1" applyBorder="1" applyAlignment="1">
      <alignment horizontal="right"/>
    </xf>
    <xf numFmtId="0" fontId="3" fillId="0" borderId="0" xfId="0" applyNumberFormat="1" applyFont="1" applyBorder="1" applyAlignment="1">
      <alignment horizontal="right"/>
    </xf>
    <xf numFmtId="165" fontId="3" fillId="0" borderId="7" xfId="3" applyNumberFormat="1" applyFont="1" applyFill="1" applyBorder="1"/>
    <xf numFmtId="166" fontId="3" fillId="0" borderId="7" xfId="0" applyNumberFormat="1" applyFont="1" applyFill="1" applyBorder="1"/>
    <xf numFmtId="8" fontId="3" fillId="0" borderId="7" xfId="0" applyNumberFormat="1" applyFont="1" applyFill="1" applyBorder="1"/>
    <xf numFmtId="0" fontId="3" fillId="0" borderId="7" xfId="0" applyFont="1" applyFill="1" applyBorder="1"/>
    <xf numFmtId="0" fontId="3" fillId="0" borderId="7" xfId="0" applyFont="1" applyBorder="1"/>
    <xf numFmtId="8" fontId="3" fillId="0" borderId="7" xfId="0" applyNumberFormat="1" applyFont="1" applyBorder="1"/>
    <xf numFmtId="166" fontId="3" fillId="0" borderId="7" xfId="0" applyNumberFormat="1" applyFont="1" applyBorder="1"/>
    <xf numFmtId="43" fontId="2" fillId="0" borderId="7" xfId="1" applyFont="1" applyBorder="1" applyAlignment="1">
      <alignment horizontal="right"/>
    </xf>
    <xf numFmtId="5" fontId="16" fillId="0" borderId="7" xfId="2" applyNumberFormat="1" applyFont="1" applyBorder="1" applyAlignment="1">
      <alignment horizontal="right"/>
    </xf>
    <xf numFmtId="9" fontId="0" fillId="0" borderId="0" xfId="3" applyFont="1"/>
    <xf numFmtId="9" fontId="3" fillId="0" borderId="0" xfId="3" applyFont="1" applyFill="1" applyBorder="1" applyAlignment="1">
      <alignment horizontal="right"/>
    </xf>
    <xf numFmtId="167" fontId="3" fillId="0" borderId="7" xfId="0" applyNumberFormat="1" applyFont="1" applyFill="1" applyBorder="1"/>
    <xf numFmtId="43" fontId="0" fillId="0" borderId="0" xfId="1" applyFont="1"/>
    <xf numFmtId="43" fontId="9" fillId="0" borderId="0" xfId="1" applyFont="1"/>
    <xf numFmtId="43" fontId="0" fillId="0" borderId="0" xfId="0" applyNumberFormat="1"/>
    <xf numFmtId="43" fontId="0" fillId="0" borderId="0" xfId="0" applyNumberFormat="1" applyBorder="1"/>
    <xf numFmtId="165" fontId="0" fillId="0" borderId="0" xfId="3" applyNumberFormat="1" applyFont="1" applyBorder="1"/>
    <xf numFmtId="165" fontId="2" fillId="0" borderId="7" xfId="4" applyNumberFormat="1" applyFont="1" applyBorder="1" applyAlignment="1">
      <alignment horizontal="right"/>
    </xf>
    <xf numFmtId="165" fontId="19" fillId="0" borderId="0" xfId="3" applyNumberFormat="1" applyFont="1"/>
    <xf numFmtId="165" fontId="0" fillId="0" borderId="0" xfId="3" applyNumberFormat="1" applyFont="1"/>
    <xf numFmtId="2" fontId="3" fillId="0" borderId="7" xfId="0" applyNumberFormat="1" applyFont="1" applyBorder="1" applyAlignment="1">
      <alignment horizontal="right"/>
    </xf>
    <xf numFmtId="43" fontId="3" fillId="0" borderId="7" xfId="1" applyFont="1" applyBorder="1"/>
    <xf numFmtId="165" fontId="3" fillId="0" borderId="7" xfId="3" applyNumberFormat="1" applyFont="1" applyBorder="1" applyAlignment="1">
      <alignment horizontal="right"/>
    </xf>
    <xf numFmtId="4" fontId="3" fillId="0" borderId="7" xfId="0" applyNumberFormat="1" applyFont="1" applyFill="1" applyBorder="1" applyAlignment="1">
      <alignment horizontal="right"/>
    </xf>
    <xf numFmtId="165" fontId="2" fillId="0" borderId="7" xfId="3" applyNumberFormat="1" applyFont="1" applyBorder="1"/>
    <xf numFmtId="0" fontId="2" fillId="0" borderId="7" xfId="0" applyNumberFormat="1" applyFont="1" applyBorder="1" applyAlignment="1">
      <alignment horizontal="right"/>
    </xf>
    <xf numFmtId="2" fontId="3" fillId="0" borderId="0" xfId="0" applyNumberFormat="1" applyFont="1" applyBorder="1" applyAlignment="1">
      <alignment horizontal="right"/>
    </xf>
    <xf numFmtId="43" fontId="2" fillId="0" borderId="7" xfId="1" applyFont="1" applyBorder="1"/>
    <xf numFmtId="0" fontId="2" fillId="0" borderId="7" xfId="4" applyFont="1" applyFill="1" applyBorder="1" applyAlignment="1">
      <alignment horizontal="right"/>
    </xf>
    <xf numFmtId="165" fontId="2" fillId="0" borderId="7" xfId="3" applyNumberFormat="1" applyFont="1" applyFill="1" applyBorder="1" applyAlignment="1">
      <alignment horizontal="right"/>
    </xf>
    <xf numFmtId="166" fontId="2" fillId="0" borderId="7" xfId="4" applyNumberFormat="1" applyFont="1" applyFill="1" applyBorder="1" applyAlignment="1">
      <alignment horizontal="right"/>
    </xf>
    <xf numFmtId="0" fontId="2" fillId="0" borderId="12" xfId="0" applyFont="1" applyFill="1" applyBorder="1" applyAlignment="1">
      <alignment horizontal="right"/>
    </xf>
    <xf numFmtId="8" fontId="2" fillId="0" borderId="7" xfId="0" applyNumberFormat="1" applyFont="1" applyFill="1" applyBorder="1" applyAlignment="1">
      <alignment horizontal="right"/>
    </xf>
    <xf numFmtId="0" fontId="12" fillId="3" borderId="7" xfId="0" applyFont="1" applyFill="1" applyBorder="1" applyAlignment="1">
      <alignment horizontal="left"/>
    </xf>
    <xf numFmtId="0" fontId="12" fillId="3" borderId="8" xfId="0" applyFont="1" applyFill="1" applyBorder="1" applyAlignment="1"/>
    <xf numFmtId="0" fontId="12" fillId="3" borderId="8" xfId="0" applyFont="1" applyFill="1" applyBorder="1" applyAlignment="1"/>
    <xf numFmtId="0" fontId="12" fillId="3" borderId="8" xfId="0" applyFont="1" applyFill="1" applyBorder="1" applyAlignment="1"/>
    <xf numFmtId="0" fontId="12" fillId="3" borderId="8" xfId="0" applyFont="1" applyFill="1" applyBorder="1" applyAlignment="1"/>
    <xf numFmtId="0" fontId="12" fillId="3" borderId="8" xfId="0" applyFont="1" applyFill="1" applyBorder="1" applyAlignment="1"/>
    <xf numFmtId="0" fontId="0" fillId="0" borderId="0" xfId="0" applyBorder="1"/>
    <xf numFmtId="0" fontId="5" fillId="0" borderId="0" xfId="0" applyFont="1" applyAlignment="1"/>
    <xf numFmtId="0" fontId="5" fillId="0" borderId="0" xfId="0" applyFont="1" applyAlignment="1">
      <alignment horizontal="left"/>
    </xf>
    <xf numFmtId="0" fontId="0" fillId="0" borderId="0" xfId="0" applyAlignment="1">
      <alignment wrapText="1"/>
    </xf>
    <xf numFmtId="0" fontId="6" fillId="0" borderId="0" xfId="0" applyFont="1" applyBorder="1"/>
    <xf numFmtId="0" fontId="6" fillId="0" borderId="0" xfId="0" applyFont="1"/>
    <xf numFmtId="0" fontId="4" fillId="0" borderId="0" xfId="0" applyFont="1" applyAlignment="1"/>
    <xf numFmtId="0" fontId="0" fillId="0" borderId="0" xfId="0" applyBorder="1" applyAlignment="1"/>
    <xf numFmtId="0" fontId="0" fillId="0" borderId="0" xfId="0" applyAlignment="1"/>
    <xf numFmtId="0" fontId="20" fillId="0" borderId="0" xfId="0" applyFont="1" applyBorder="1" applyAlignment="1">
      <alignment horizontal="left"/>
    </xf>
    <xf numFmtId="0" fontId="9" fillId="0" borderId="0" xfId="0" applyFont="1" applyAlignment="1"/>
    <xf numFmtId="0" fontId="6" fillId="0" borderId="0" xfId="0" applyFont="1" applyAlignment="1"/>
    <xf numFmtId="0" fontId="9" fillId="0" borderId="0" xfId="0" applyFont="1" applyBorder="1"/>
    <xf numFmtId="0" fontId="7" fillId="0" borderId="0" xfId="0" applyFont="1"/>
    <xf numFmtId="0" fontId="7" fillId="0" borderId="0" xfId="0" applyFont="1" applyAlignment="1"/>
    <xf numFmtId="0" fontId="9" fillId="0" borderId="0" xfId="0" applyFont="1" applyAlignment="1">
      <alignment wrapText="1"/>
    </xf>
    <xf numFmtId="0" fontId="9" fillId="0" borderId="0" xfId="0" applyFont="1" applyBorder="1" applyAlignment="1"/>
    <xf numFmtId="0" fontId="17" fillId="0" borderId="0" xfId="0" applyFont="1" applyAlignment="1">
      <alignment vertical="center"/>
    </xf>
    <xf numFmtId="0" fontId="15" fillId="0" borderId="0" xfId="0" applyFont="1" applyAlignment="1"/>
    <xf numFmtId="0" fontId="18" fillId="0" borderId="0" xfId="0" applyFont="1" applyAlignment="1"/>
    <xf numFmtId="0" fontId="18" fillId="0" borderId="0" xfId="0" applyFont="1"/>
    <xf numFmtId="0" fontId="15" fillId="0" borderId="0" xfId="0" applyFont="1" applyBorder="1"/>
    <xf numFmtId="0" fontId="18" fillId="0" borderId="0" xfId="0" applyFont="1" applyBorder="1"/>
    <xf numFmtId="0" fontId="15" fillId="0" borderId="0" xfId="0" applyFont="1"/>
    <xf numFmtId="0" fontId="15" fillId="0" borderId="0" xfId="0" applyFont="1" applyAlignment="1">
      <alignment vertical="center"/>
    </xf>
    <xf numFmtId="0" fontId="17" fillId="0" borderId="0" xfId="0" applyFont="1"/>
    <xf numFmtId="0" fontId="6" fillId="0" borderId="0" xfId="0" applyFont="1" applyBorder="1" applyAlignment="1">
      <alignment wrapText="1"/>
    </xf>
    <xf numFmtId="0" fontId="12" fillId="3" borderId="7" xfId="0" applyFont="1" applyFill="1" applyBorder="1" applyAlignment="1">
      <alignment horizontal="left"/>
    </xf>
    <xf numFmtId="0" fontId="12" fillId="3" borderId="8" xfId="0" applyFont="1" applyFill="1" applyBorder="1" applyAlignment="1">
      <alignment horizontal="left"/>
    </xf>
    <xf numFmtId="0" fontId="12" fillId="3" borderId="9" xfId="0" applyFont="1" applyFill="1" applyBorder="1" applyAlignment="1">
      <alignment horizontal="left"/>
    </xf>
    <xf numFmtId="0" fontId="12" fillId="3" borderId="10" xfId="0" applyFont="1" applyFill="1" applyBorder="1" applyAlignment="1">
      <alignment horizontal="left"/>
    </xf>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2" fillId="3" borderId="4" xfId="0" applyFont="1" applyFill="1" applyBorder="1" applyAlignment="1">
      <alignment horizontal="left"/>
    </xf>
    <xf numFmtId="0" fontId="12" fillId="3" borderId="5" xfId="0" applyFont="1" applyFill="1" applyBorder="1" applyAlignment="1">
      <alignment horizontal="left"/>
    </xf>
    <xf numFmtId="0" fontId="12" fillId="3" borderId="6" xfId="0" applyFont="1" applyFill="1" applyBorder="1" applyAlignment="1">
      <alignment horizontal="left"/>
    </xf>
  </cellXfs>
  <cellStyles count="21">
    <cellStyle name="Comma" xfId="1" builtinId="3"/>
    <cellStyle name="Comma 2" xfId="6"/>
    <cellStyle name="Comma 2 2" xfId="15"/>
    <cellStyle name="Comma 3" xfId="5"/>
    <cellStyle name="Comma 4" xfId="12"/>
    <cellStyle name="Currency" xfId="2" builtinId="4"/>
    <cellStyle name="Currency 2" xfId="7"/>
    <cellStyle name="Currency 3" xfId="13"/>
    <cellStyle name="Normal" xfId="0" builtinId="0"/>
    <cellStyle name="Normal 2" xfId="8"/>
    <cellStyle name="Normal 2 2" xfId="16"/>
    <cellStyle name="Normal 3" xfId="4"/>
    <cellStyle name="Normal 4" xfId="11"/>
    <cellStyle name="Normal 5" xfId="10"/>
    <cellStyle name="Normal 5 2" xfId="17"/>
    <cellStyle name="Normal 5 3" xfId="18"/>
    <cellStyle name="Normal 6" xfId="19"/>
    <cellStyle name="Normal 6 2" xfId="20"/>
    <cellStyle name="Percent" xfId="3" builtinId="5"/>
    <cellStyle name="Percent 2" xfId="9"/>
    <cellStyle name="Percent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workbookViewId="0">
      <selection activeCell="D38" sqref="D38"/>
    </sheetView>
  </sheetViews>
  <sheetFormatPr defaultColWidth="8.85546875" defaultRowHeight="12.75" x14ac:dyDescent="0.2"/>
  <cols>
    <col min="1" max="16384" width="8.85546875" style="84"/>
  </cols>
  <sheetData>
    <row r="1" spans="1:14" ht="15" x14ac:dyDescent="0.25">
      <c r="A1" s="135" t="s">
        <v>52</v>
      </c>
      <c r="B1" s="136"/>
      <c r="C1" s="136"/>
      <c r="D1" s="136"/>
      <c r="E1" s="134"/>
      <c r="F1" s="134"/>
      <c r="G1" s="134"/>
      <c r="H1" s="134"/>
      <c r="I1" s="134"/>
      <c r="J1" s="134"/>
      <c r="K1" s="134"/>
      <c r="L1" s="134"/>
      <c r="M1" s="134"/>
      <c r="N1" s="134"/>
    </row>
    <row r="2" spans="1:14" ht="15" x14ac:dyDescent="0.25">
      <c r="A2" s="137" t="s">
        <v>84</v>
      </c>
      <c r="B2" s="138"/>
      <c r="C2" s="138"/>
      <c r="D2" s="138"/>
      <c r="E2" s="126"/>
      <c r="F2" s="126"/>
      <c r="G2" s="126"/>
      <c r="H2" s="126"/>
      <c r="I2" s="126"/>
      <c r="J2" s="126"/>
      <c r="K2" s="126"/>
      <c r="L2" s="126"/>
      <c r="M2" s="126"/>
      <c r="N2" s="126"/>
    </row>
    <row r="3" spans="1:14" x14ac:dyDescent="0.2">
      <c r="A3" s="139" t="s">
        <v>53</v>
      </c>
      <c r="B3" s="137"/>
      <c r="C3" s="137"/>
      <c r="D3" s="137"/>
      <c r="E3" s="132"/>
      <c r="F3" s="132"/>
      <c r="G3" s="132"/>
      <c r="H3" s="132"/>
      <c r="I3" s="132"/>
      <c r="J3" s="132"/>
      <c r="K3" s="132"/>
      <c r="L3" s="132"/>
      <c r="M3" s="132"/>
      <c r="N3" s="127"/>
    </row>
    <row r="4" spans="1:14" x14ac:dyDescent="0.2">
      <c r="A4" s="137" t="s">
        <v>54</v>
      </c>
      <c r="B4" s="140"/>
      <c r="C4" s="140"/>
      <c r="D4" s="140"/>
      <c r="E4" s="127"/>
      <c r="F4" s="127"/>
      <c r="G4" s="128"/>
      <c r="H4" s="128"/>
      <c r="I4" s="128"/>
      <c r="J4" s="128"/>
      <c r="K4" s="128"/>
      <c r="L4" s="128"/>
      <c r="M4" s="128"/>
      <c r="N4" s="128"/>
    </row>
    <row r="5" spans="1:14" ht="15" x14ac:dyDescent="0.25">
      <c r="A5" s="140" t="s">
        <v>55</v>
      </c>
      <c r="B5" s="136"/>
      <c r="C5" s="136"/>
      <c r="D5" s="136"/>
      <c r="E5" s="134"/>
      <c r="F5" s="134"/>
      <c r="G5" s="134"/>
      <c r="H5" s="134"/>
      <c r="I5" s="134"/>
      <c r="J5" s="134"/>
      <c r="K5" s="134"/>
      <c r="L5" s="134"/>
      <c r="M5" s="134"/>
      <c r="N5" s="134"/>
    </row>
    <row r="6" spans="1:14" ht="15" x14ac:dyDescent="0.25">
      <c r="A6" s="137" t="s">
        <v>56</v>
      </c>
      <c r="B6" s="136"/>
      <c r="C6" s="136"/>
      <c r="D6" s="136"/>
      <c r="E6" s="134"/>
      <c r="F6" s="134"/>
      <c r="G6" s="134"/>
      <c r="H6" s="134"/>
      <c r="I6" s="134"/>
      <c r="J6" s="134"/>
      <c r="K6" s="134"/>
      <c r="L6" s="134"/>
      <c r="M6" s="134"/>
      <c r="N6" s="134"/>
    </row>
    <row r="7" spans="1:14" ht="15" x14ac:dyDescent="0.25">
      <c r="A7" s="140" t="s">
        <v>57</v>
      </c>
      <c r="B7" s="141"/>
      <c r="C7" s="141"/>
      <c r="D7" s="141"/>
      <c r="E7" s="129"/>
      <c r="F7" s="129"/>
      <c r="G7" s="129"/>
      <c r="H7" s="129"/>
      <c r="I7" s="129"/>
      <c r="J7" s="129"/>
      <c r="K7" s="129"/>
      <c r="L7" s="129"/>
      <c r="M7" s="129"/>
      <c r="N7" s="129"/>
    </row>
    <row r="8" spans="1:14" ht="15" x14ac:dyDescent="0.25">
      <c r="A8" s="140" t="s">
        <v>58</v>
      </c>
      <c r="B8" s="142"/>
      <c r="C8" s="142"/>
      <c r="D8" s="142"/>
      <c r="E8" s="133"/>
      <c r="F8" s="133"/>
      <c r="G8" s="133"/>
      <c r="H8" s="133"/>
      <c r="I8" s="133"/>
      <c r="J8" s="133"/>
      <c r="K8" s="133"/>
      <c r="L8" s="133"/>
      <c r="M8" s="133"/>
      <c r="N8" s="133"/>
    </row>
    <row r="9" spans="1:14" ht="15" x14ac:dyDescent="0.25">
      <c r="A9" s="137" t="s">
        <v>59</v>
      </c>
      <c r="B9" s="138"/>
      <c r="C9" s="138"/>
      <c r="D9" s="138"/>
      <c r="E9" s="126"/>
      <c r="F9" s="126"/>
      <c r="G9" s="126"/>
      <c r="H9" s="126"/>
      <c r="I9" s="126"/>
      <c r="J9" s="126"/>
      <c r="K9" s="126"/>
      <c r="L9" s="126"/>
      <c r="M9" s="126"/>
      <c r="N9" s="126"/>
    </row>
    <row r="10" spans="1:14" ht="15" x14ac:dyDescent="0.25">
      <c r="A10" s="139" t="s">
        <v>60</v>
      </c>
      <c r="B10" s="136"/>
      <c r="C10" s="136"/>
      <c r="D10" s="136"/>
      <c r="E10" s="134"/>
      <c r="F10" s="134"/>
      <c r="G10" s="134"/>
      <c r="H10" s="134"/>
      <c r="I10" s="134"/>
      <c r="J10" s="134"/>
      <c r="K10" s="134"/>
      <c r="L10" s="134"/>
      <c r="M10" s="134"/>
      <c r="N10" s="134"/>
    </row>
    <row r="11" spans="1:14" x14ac:dyDescent="0.2">
      <c r="A11" s="137" t="s">
        <v>78</v>
      </c>
      <c r="B11" s="144"/>
      <c r="C11" s="144"/>
      <c r="D11" s="144"/>
      <c r="E11" s="145"/>
      <c r="F11" s="145"/>
      <c r="G11" s="145"/>
      <c r="H11" s="145"/>
      <c r="I11" s="145"/>
      <c r="J11" s="145"/>
      <c r="K11" s="145"/>
      <c r="L11" s="145"/>
      <c r="M11" s="145"/>
      <c r="N11" s="145"/>
    </row>
    <row r="12" spans="1:14" x14ac:dyDescent="0.2">
      <c r="A12" s="140" t="s">
        <v>61</v>
      </c>
      <c r="B12" s="144"/>
      <c r="C12" s="144"/>
      <c r="D12" s="144"/>
      <c r="E12" s="145"/>
      <c r="F12" s="145"/>
      <c r="G12" s="145"/>
      <c r="H12" s="145"/>
      <c r="I12" s="145"/>
      <c r="J12" s="145"/>
      <c r="K12" s="145"/>
      <c r="L12" s="145"/>
      <c r="M12" s="145"/>
      <c r="N12" s="145"/>
    </row>
    <row r="13" spans="1:14" x14ac:dyDescent="0.2">
      <c r="A13" s="140" t="s">
        <v>62</v>
      </c>
      <c r="B13" s="147"/>
      <c r="C13" s="147"/>
      <c r="D13" s="147"/>
      <c r="E13" s="148"/>
      <c r="F13" s="148"/>
      <c r="G13" s="148"/>
      <c r="H13" s="148"/>
      <c r="I13" s="148"/>
      <c r="J13" s="148"/>
      <c r="K13" s="148"/>
      <c r="L13" s="148"/>
      <c r="M13" s="148"/>
      <c r="N13" s="148"/>
    </row>
    <row r="14" spans="1:14" x14ac:dyDescent="0.2">
      <c r="A14" s="139" t="s">
        <v>63</v>
      </c>
      <c r="B14" s="144"/>
      <c r="C14" s="144"/>
      <c r="D14" s="144"/>
      <c r="E14" s="145"/>
      <c r="F14" s="145"/>
      <c r="G14" s="145"/>
      <c r="H14" s="145"/>
      <c r="I14" s="145"/>
      <c r="J14" s="145"/>
      <c r="K14" s="145"/>
      <c r="L14" s="145"/>
      <c r="M14" s="145"/>
      <c r="N14" s="145"/>
    </row>
    <row r="15" spans="1:14" x14ac:dyDescent="0.2">
      <c r="A15" s="137" t="s">
        <v>85</v>
      </c>
      <c r="B15" s="130"/>
      <c r="C15" s="131"/>
      <c r="D15" s="131"/>
      <c r="E15" s="131"/>
      <c r="F15" s="131"/>
      <c r="G15" s="146"/>
      <c r="H15" s="146"/>
      <c r="I15" s="146"/>
      <c r="J15" s="146"/>
      <c r="K15" s="146"/>
      <c r="L15" s="146"/>
      <c r="M15" s="146"/>
      <c r="N15" s="146"/>
    </row>
    <row r="16" spans="1:14" x14ac:dyDescent="0.2">
      <c r="A16" s="139" t="s">
        <v>64</v>
      </c>
      <c r="B16" s="149"/>
      <c r="C16" s="149"/>
      <c r="D16" s="149"/>
      <c r="E16" s="146"/>
      <c r="F16" s="146"/>
      <c r="G16" s="146"/>
      <c r="H16" s="146"/>
      <c r="I16" s="146"/>
      <c r="J16" s="146"/>
      <c r="K16" s="146"/>
      <c r="L16" s="146"/>
      <c r="M16" s="146"/>
      <c r="N16" s="146"/>
    </row>
    <row r="17" spans="1:15" x14ac:dyDescent="0.2">
      <c r="A17" s="143" t="s">
        <v>86</v>
      </c>
      <c r="B17" s="149"/>
      <c r="C17" s="149"/>
      <c r="D17" s="149"/>
      <c r="E17" s="146"/>
      <c r="F17" s="146"/>
      <c r="G17" s="146"/>
      <c r="H17" s="146"/>
      <c r="I17" s="146"/>
      <c r="J17" s="146"/>
      <c r="K17" s="146"/>
      <c r="L17" s="146"/>
      <c r="M17" s="146"/>
      <c r="N17" s="146"/>
      <c r="O17" s="146"/>
    </row>
    <row r="18" spans="1:15" x14ac:dyDescent="0.2">
      <c r="A18" s="150" t="s">
        <v>65</v>
      </c>
      <c r="B18" s="149"/>
      <c r="C18" s="149"/>
      <c r="D18" s="149"/>
      <c r="E18" s="146"/>
      <c r="F18" s="146"/>
      <c r="G18" s="146"/>
      <c r="H18" s="146"/>
      <c r="I18" s="146"/>
      <c r="J18" s="146"/>
      <c r="K18" s="146"/>
      <c r="L18" s="146"/>
      <c r="M18" s="146"/>
      <c r="N18" s="146"/>
      <c r="O18" s="146"/>
    </row>
    <row r="19" spans="1:15" x14ac:dyDescent="0.2">
      <c r="A19" s="151" t="s">
        <v>87</v>
      </c>
      <c r="B19" s="149"/>
      <c r="C19" s="149"/>
      <c r="D19" s="149"/>
      <c r="E19" s="146"/>
      <c r="F19" s="146"/>
      <c r="G19" s="146"/>
      <c r="H19" s="146"/>
      <c r="I19" s="146"/>
      <c r="J19" s="146"/>
      <c r="K19" s="146"/>
      <c r="L19" s="146"/>
      <c r="M19" s="146"/>
      <c r="N19" s="146"/>
      <c r="O19" s="146"/>
    </row>
    <row r="20" spans="1:15" x14ac:dyDescent="0.2">
      <c r="A20" s="140" t="s">
        <v>66</v>
      </c>
      <c r="B20" s="152"/>
      <c r="C20" s="152"/>
      <c r="D20" s="152"/>
      <c r="E20" s="152"/>
      <c r="F20" s="152"/>
      <c r="G20" s="152"/>
      <c r="H20" s="152"/>
      <c r="I20" s="152"/>
      <c r="J20" s="152"/>
      <c r="K20" s="152"/>
      <c r="L20" s="152"/>
      <c r="M20" s="152"/>
      <c r="N20" s="152"/>
      <c r="O20" s="152"/>
    </row>
    <row r="21" spans="1:15" x14ac:dyDescent="0.2">
      <c r="A21" s="137" t="s">
        <v>88</v>
      </c>
      <c r="B21" s="146"/>
      <c r="C21" s="146"/>
      <c r="D21" s="146"/>
      <c r="E21" s="146"/>
      <c r="F21" s="146"/>
      <c r="G21" s="146"/>
      <c r="H21" s="146"/>
      <c r="I21" s="146"/>
      <c r="J21" s="146"/>
      <c r="K21" s="146"/>
      <c r="L21" s="146"/>
      <c r="M21" s="146"/>
      <c r="N21" s="146"/>
      <c r="O21" s="146"/>
    </row>
    <row r="22" spans="1:15" x14ac:dyDescent="0.2">
      <c r="A22" s="140" t="s">
        <v>67</v>
      </c>
      <c r="B22" s="146"/>
      <c r="C22" s="146"/>
      <c r="D22" s="146"/>
      <c r="E22" s="146"/>
      <c r="F22" s="146"/>
      <c r="G22" s="146"/>
      <c r="H22" s="146"/>
      <c r="I22" s="146"/>
      <c r="J22" s="146"/>
      <c r="K22" s="146"/>
      <c r="L22" s="146"/>
      <c r="M22" s="146"/>
      <c r="N22" s="146"/>
      <c r="O22" s="146"/>
    </row>
    <row r="23" spans="1:15" x14ac:dyDescent="0.2">
      <c r="A23" s="137" t="s">
        <v>89</v>
      </c>
      <c r="B23" s="146"/>
      <c r="C23" s="146"/>
      <c r="D23" s="146"/>
      <c r="E23" s="146"/>
      <c r="F23" s="146"/>
      <c r="G23" s="146"/>
      <c r="H23" s="146"/>
      <c r="I23" s="146"/>
      <c r="J23" s="146"/>
      <c r="K23" s="146"/>
      <c r="L23" s="146"/>
      <c r="M23" s="146"/>
      <c r="N23" s="146"/>
      <c r="O23" s="146"/>
    </row>
    <row r="24" spans="1:15" x14ac:dyDescent="0.2">
      <c r="A24" s="140" t="s">
        <v>68</v>
      </c>
      <c r="B24" s="146"/>
      <c r="C24" s="146"/>
      <c r="D24" s="146"/>
      <c r="E24" s="146"/>
      <c r="F24" s="146"/>
      <c r="G24" s="146"/>
      <c r="H24" s="146"/>
      <c r="I24" s="146"/>
      <c r="J24" s="146"/>
      <c r="K24" s="146"/>
      <c r="L24" s="146"/>
      <c r="M24" s="146"/>
      <c r="N24" s="146"/>
      <c r="O24" s="14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topLeftCell="A64" workbookViewId="0">
      <selection activeCell="A86" activeCellId="4" sqref="A74 A77 A80 A84 A86"/>
    </sheetView>
  </sheetViews>
  <sheetFormatPr defaultRowHeight="15" x14ac:dyDescent="0.25"/>
  <cols>
    <col min="1" max="1" width="31.5703125" customWidth="1"/>
    <col min="16" max="16" width="9.5703125" bestFit="1" customWidth="1"/>
    <col min="17" max="17" width="10.42578125" bestFit="1" customWidth="1"/>
    <col min="19" max="19" width="9.5703125" bestFit="1" customWidth="1"/>
  </cols>
  <sheetData>
    <row r="1" spans="1:21" ht="15.75" x14ac:dyDescent="0.25">
      <c r="A1" s="157" t="s">
        <v>0</v>
      </c>
      <c r="B1" s="158"/>
      <c r="C1" s="158"/>
      <c r="D1" s="158"/>
      <c r="E1" s="158"/>
      <c r="F1" s="158"/>
      <c r="G1" s="158"/>
      <c r="H1" s="158"/>
      <c r="I1" s="158"/>
      <c r="J1" s="158"/>
      <c r="K1" s="158"/>
      <c r="L1" s="158"/>
      <c r="M1" s="158"/>
      <c r="N1" s="159"/>
      <c r="O1" s="1"/>
      <c r="P1" s="1"/>
    </row>
    <row r="2" spans="1:21" ht="15" customHeight="1" x14ac:dyDescent="0.25">
      <c r="A2" s="160" t="s">
        <v>1</v>
      </c>
      <c r="B2" s="161"/>
      <c r="C2" s="161"/>
      <c r="D2" s="161"/>
      <c r="E2" s="161"/>
      <c r="F2" s="161"/>
      <c r="G2" s="161"/>
      <c r="H2" s="161"/>
      <c r="I2" s="161"/>
      <c r="J2" s="161"/>
      <c r="K2" s="161"/>
      <c r="L2" s="161"/>
      <c r="M2" s="161"/>
      <c r="N2" s="162"/>
      <c r="O2" s="1"/>
      <c r="P2" s="1"/>
    </row>
    <row r="3" spans="1:21" x14ac:dyDescent="0.25">
      <c r="A3" s="23" t="s">
        <v>2</v>
      </c>
      <c r="B3" s="23" t="s">
        <v>3</v>
      </c>
      <c r="C3" s="23" t="s">
        <v>4</v>
      </c>
      <c r="D3" s="23" t="s">
        <v>5</v>
      </c>
      <c r="E3" s="23" t="s">
        <v>6</v>
      </c>
      <c r="F3" s="23" t="s">
        <v>7</v>
      </c>
      <c r="G3" s="23" t="s">
        <v>8</v>
      </c>
      <c r="H3" s="23" t="s">
        <v>9</v>
      </c>
      <c r="I3" s="23" t="s">
        <v>10</v>
      </c>
      <c r="J3" s="23" t="s">
        <v>11</v>
      </c>
      <c r="K3" s="23" t="s">
        <v>12</v>
      </c>
      <c r="L3" s="23" t="s">
        <v>13</v>
      </c>
      <c r="M3" s="23" t="s">
        <v>14</v>
      </c>
      <c r="N3" s="23" t="s">
        <v>15</v>
      </c>
      <c r="O3" s="1"/>
      <c r="P3" s="1"/>
    </row>
    <row r="4" spans="1:21" x14ac:dyDescent="0.25">
      <c r="A4" s="153" t="s">
        <v>16</v>
      </c>
      <c r="B4" s="153"/>
      <c r="C4" s="153"/>
      <c r="D4" s="153"/>
      <c r="E4" s="153"/>
      <c r="F4" s="153"/>
      <c r="G4" s="153"/>
      <c r="H4" s="153"/>
      <c r="I4" s="153"/>
      <c r="J4" s="153"/>
      <c r="K4" s="153"/>
      <c r="L4" s="153"/>
      <c r="M4" s="153"/>
      <c r="N4" s="153"/>
      <c r="O4" s="1"/>
      <c r="P4" s="1"/>
    </row>
    <row r="5" spans="1:21" x14ac:dyDescent="0.25">
      <c r="A5" s="24" t="s">
        <v>17</v>
      </c>
      <c r="B5" s="2">
        <v>562.4</v>
      </c>
      <c r="C5" s="2">
        <v>554.20000000000005</v>
      </c>
      <c r="D5" s="2">
        <v>578.29999999999995</v>
      </c>
      <c r="E5" s="2">
        <v>534.5</v>
      </c>
      <c r="F5" s="2">
        <v>592</v>
      </c>
      <c r="G5" s="2">
        <v>583.4</v>
      </c>
      <c r="H5" s="2">
        <v>645</v>
      </c>
      <c r="I5" s="2">
        <v>669.5</v>
      </c>
      <c r="J5" s="2">
        <v>588.9</v>
      </c>
      <c r="K5" s="2">
        <v>586.1</v>
      </c>
      <c r="L5" s="31">
        <v>541</v>
      </c>
      <c r="M5" s="2"/>
      <c r="N5" s="31">
        <v>6435.9</v>
      </c>
      <c r="O5" s="1"/>
      <c r="P5" s="1"/>
    </row>
    <row r="6" spans="1:21" x14ac:dyDescent="0.25">
      <c r="A6" s="24" t="s">
        <v>18</v>
      </c>
      <c r="B6" s="3">
        <v>-3.4000000000000002E-2</v>
      </c>
      <c r="C6" s="3">
        <v>-1.2999999999999999E-2</v>
      </c>
      <c r="D6" s="3">
        <v>-5.8000000000000003E-2</v>
      </c>
      <c r="E6" s="3">
        <v>-9.8000000000000004E-2</v>
      </c>
      <c r="F6" s="3">
        <v>-2.7E-2</v>
      </c>
      <c r="G6" s="3">
        <v>-2.5000000000000001E-2</v>
      </c>
      <c r="H6" s="3">
        <v>-5.6000000000000001E-2</v>
      </c>
      <c r="I6" s="3">
        <v>-5.7000000000000002E-2</v>
      </c>
      <c r="J6" s="3">
        <v>-2.1999999999999999E-2</v>
      </c>
      <c r="K6" s="3">
        <v>-1.4999999999999999E-2</v>
      </c>
      <c r="L6" s="4">
        <v>-1.7999999999999999E-2</v>
      </c>
      <c r="M6" s="4"/>
      <c r="N6" s="4">
        <v>-3.3000000000000002E-2</v>
      </c>
      <c r="O6" s="1"/>
      <c r="P6" s="1"/>
    </row>
    <row r="7" spans="1:21" x14ac:dyDescent="0.25">
      <c r="A7" s="24" t="s">
        <v>19</v>
      </c>
      <c r="B7" s="2">
        <v>400</v>
      </c>
      <c r="C7" s="2">
        <v>397.9</v>
      </c>
      <c r="D7" s="2">
        <v>426.7</v>
      </c>
      <c r="E7" s="2">
        <v>399.5</v>
      </c>
      <c r="F7" s="2">
        <v>492.7</v>
      </c>
      <c r="G7" s="2">
        <v>497.6</v>
      </c>
      <c r="H7" s="2">
        <v>559.1</v>
      </c>
      <c r="I7" s="2">
        <v>586.20000000000005</v>
      </c>
      <c r="J7" s="2">
        <v>503.7</v>
      </c>
      <c r="K7" s="2">
        <v>491.7</v>
      </c>
      <c r="L7" s="31">
        <v>421.2</v>
      </c>
      <c r="M7" s="2"/>
      <c r="N7" s="31">
        <v>5176.3999999999996</v>
      </c>
      <c r="O7" s="1"/>
      <c r="P7" s="1"/>
    </row>
    <row r="8" spans="1:21" x14ac:dyDescent="0.25">
      <c r="A8" s="24" t="s">
        <v>18</v>
      </c>
      <c r="B8" s="3">
        <v>5.0000000000000001E-3</v>
      </c>
      <c r="C8" s="3">
        <v>4.4999999999999998E-2</v>
      </c>
      <c r="D8" s="3">
        <v>1.2999999999999999E-2</v>
      </c>
      <c r="E8" s="3">
        <v>-3.4000000000000002E-2</v>
      </c>
      <c r="F8" s="3">
        <v>0.123</v>
      </c>
      <c r="G8" s="3">
        <v>1.4E-2</v>
      </c>
      <c r="H8" s="3">
        <v>-1E-3</v>
      </c>
      <c r="I8" s="3">
        <v>5.0000000000000001E-3</v>
      </c>
      <c r="J8" s="3">
        <v>2.1000000000000001E-2</v>
      </c>
      <c r="K8" s="3">
        <v>4.1000000000000002E-2</v>
      </c>
      <c r="L8" s="4">
        <v>3.9E-2</v>
      </c>
      <c r="M8" s="4"/>
      <c r="N8" s="4">
        <v>2.3E-2</v>
      </c>
      <c r="O8" s="71"/>
      <c r="P8" s="42"/>
    </row>
    <row r="9" spans="1:21" x14ac:dyDescent="0.25">
      <c r="A9" s="24" t="s">
        <v>20</v>
      </c>
      <c r="B9" s="2">
        <v>97</v>
      </c>
      <c r="C9" s="2">
        <v>95.2</v>
      </c>
      <c r="D9" s="2">
        <v>95.5</v>
      </c>
      <c r="E9" s="2">
        <v>85.7</v>
      </c>
      <c r="F9" s="2">
        <v>70.5</v>
      </c>
      <c r="G9" s="2">
        <v>63</v>
      </c>
      <c r="H9" s="2">
        <v>60.2</v>
      </c>
      <c r="I9" s="2">
        <v>57.2</v>
      </c>
      <c r="J9" s="2">
        <v>61.7</v>
      </c>
      <c r="K9" s="2">
        <v>72.3</v>
      </c>
      <c r="L9" s="31">
        <v>78.400000000000006</v>
      </c>
      <c r="M9" s="2"/>
      <c r="N9" s="31">
        <v>836.9</v>
      </c>
      <c r="O9" s="1"/>
      <c r="P9" s="1"/>
    </row>
    <row r="10" spans="1:21" x14ac:dyDescent="0.25">
      <c r="A10" s="24" t="s">
        <v>18</v>
      </c>
      <c r="B10" s="3">
        <v>-0.18</v>
      </c>
      <c r="C10" s="3">
        <v>-0.20499999999999999</v>
      </c>
      <c r="D10" s="3">
        <v>-0.26100000000000001</v>
      </c>
      <c r="E10" s="3">
        <v>-0.28199999999999997</v>
      </c>
      <c r="F10" s="3">
        <v>-0.25900000000000001</v>
      </c>
      <c r="G10" s="3">
        <v>-0.23300000000000001</v>
      </c>
      <c r="H10" s="3">
        <v>-0.35599999999999998</v>
      </c>
      <c r="I10" s="3">
        <v>-0.38900000000000001</v>
      </c>
      <c r="J10" s="3">
        <v>-0.24</v>
      </c>
      <c r="K10" s="3">
        <v>-0.255</v>
      </c>
      <c r="L10" s="4">
        <v>-0.21</v>
      </c>
      <c r="M10" s="4"/>
      <c r="N10" s="4">
        <v>-0.25800000000000001</v>
      </c>
      <c r="O10" s="42"/>
      <c r="P10" s="1"/>
    </row>
    <row r="11" spans="1:21" x14ac:dyDescent="0.25">
      <c r="A11" s="24" t="s">
        <v>21</v>
      </c>
      <c r="B11" s="2">
        <v>65.400000000000006</v>
      </c>
      <c r="C11" s="2">
        <v>61.1</v>
      </c>
      <c r="D11" s="2">
        <v>56.1</v>
      </c>
      <c r="E11" s="2">
        <v>49.3</v>
      </c>
      <c r="F11" s="2">
        <v>28.8</v>
      </c>
      <c r="G11" s="2">
        <v>22.8</v>
      </c>
      <c r="H11" s="2">
        <v>25.7</v>
      </c>
      <c r="I11" s="2">
        <v>26.1</v>
      </c>
      <c r="J11" s="2">
        <v>23.4</v>
      </c>
      <c r="K11" s="2">
        <v>22.2</v>
      </c>
      <c r="L11" s="31">
        <v>41.4</v>
      </c>
      <c r="M11" s="4"/>
      <c r="N11" s="31">
        <v>422.6</v>
      </c>
      <c r="O11" s="1"/>
      <c r="P11" s="1"/>
    </row>
    <row r="12" spans="1:21" x14ac:dyDescent="0.25">
      <c r="A12" s="24" t="s">
        <v>18</v>
      </c>
      <c r="B12" s="3">
        <v>-5.0000000000000001E-3</v>
      </c>
      <c r="C12" s="3">
        <v>2E-3</v>
      </c>
      <c r="D12" s="3">
        <v>-0.112</v>
      </c>
      <c r="E12" s="3">
        <v>-0.17799999999999999</v>
      </c>
      <c r="F12" s="3">
        <v>-9.0999999999999998E-2</v>
      </c>
      <c r="G12" s="3">
        <v>-0.105</v>
      </c>
      <c r="H12" s="3">
        <v>-0.161</v>
      </c>
      <c r="I12" s="3">
        <v>-0.20799999999999999</v>
      </c>
      <c r="J12" s="3">
        <v>-0.14399999999999999</v>
      </c>
      <c r="K12" s="3">
        <v>-0.13300000000000001</v>
      </c>
      <c r="L12" s="4">
        <v>-0.10299999999999999</v>
      </c>
      <c r="M12" s="4"/>
      <c r="N12" s="4">
        <v>-0.1</v>
      </c>
      <c r="O12" s="1"/>
      <c r="P12" s="1"/>
    </row>
    <row r="13" spans="1:21" x14ac:dyDescent="0.25">
      <c r="A13" s="24" t="s">
        <v>22</v>
      </c>
      <c r="B13" s="2">
        <v>1205.9000000000001</v>
      </c>
      <c r="C13" s="2">
        <v>1193.5</v>
      </c>
      <c r="D13" s="2">
        <v>1304.2</v>
      </c>
      <c r="E13" s="2">
        <v>1198.5999999999999</v>
      </c>
      <c r="F13" s="2">
        <v>1257.9000000000001</v>
      </c>
      <c r="G13" s="2">
        <v>1322.1</v>
      </c>
      <c r="H13" s="2">
        <v>1549.5</v>
      </c>
      <c r="I13" s="2">
        <v>1562.9</v>
      </c>
      <c r="J13" s="2">
        <v>1343.3</v>
      </c>
      <c r="K13" s="31">
        <v>1284.7</v>
      </c>
      <c r="L13" s="31">
        <v>1155.5</v>
      </c>
      <c r="M13" s="31"/>
      <c r="N13" s="31">
        <v>14377.7</v>
      </c>
      <c r="O13" s="1"/>
      <c r="P13" s="1"/>
    </row>
    <row r="14" spans="1:21" x14ac:dyDescent="0.25">
      <c r="A14" s="24" t="s">
        <v>18</v>
      </c>
      <c r="B14" s="3">
        <v>5.0000000000000001E-3</v>
      </c>
      <c r="C14" s="3">
        <v>3.7999999999999999E-2</v>
      </c>
      <c r="D14" s="50">
        <v>2.9000000000000001E-2</v>
      </c>
      <c r="E14" s="3">
        <v>-2.1999999999999999E-2</v>
      </c>
      <c r="F14" s="6">
        <v>1E-3</v>
      </c>
      <c r="G14" s="3">
        <v>1.2999999999999999E-2</v>
      </c>
      <c r="H14" s="3">
        <v>2.4E-2</v>
      </c>
      <c r="I14" s="5">
        <v>4.0000000000000001E-3</v>
      </c>
      <c r="J14" s="3">
        <v>3.6999999999999998E-2</v>
      </c>
      <c r="K14" s="4">
        <v>1.4E-2</v>
      </c>
      <c r="L14" s="4">
        <v>0.01</v>
      </c>
      <c r="M14" s="7"/>
      <c r="N14" s="4">
        <v>1.4E-2</v>
      </c>
      <c r="O14" s="1"/>
      <c r="P14" s="1"/>
    </row>
    <row r="15" spans="1:21" x14ac:dyDescent="0.25">
      <c r="A15" s="24" t="s">
        <v>19</v>
      </c>
      <c r="B15" s="2">
        <v>810.9</v>
      </c>
      <c r="C15" s="2">
        <v>810.7</v>
      </c>
      <c r="D15" s="33">
        <v>892.5</v>
      </c>
      <c r="E15" s="33">
        <v>836.6</v>
      </c>
      <c r="F15" s="33">
        <v>920.9</v>
      </c>
      <c r="G15" s="33">
        <v>966.9</v>
      </c>
      <c r="H15" s="33">
        <v>1122.5999999999999</v>
      </c>
      <c r="I15" s="33">
        <v>1140.8</v>
      </c>
      <c r="J15" s="33">
        <v>979.6</v>
      </c>
      <c r="K15" s="29">
        <v>943.4</v>
      </c>
      <c r="L15" s="29">
        <v>812.3</v>
      </c>
      <c r="M15" s="29"/>
      <c r="N15" s="31">
        <v>10237.200000000001</v>
      </c>
      <c r="O15" s="1"/>
      <c r="P15" s="96"/>
      <c r="Q15" s="96"/>
      <c r="R15" s="96"/>
      <c r="S15" s="96"/>
      <c r="T15" s="96"/>
      <c r="U15" s="96"/>
    </row>
    <row r="16" spans="1:21" x14ac:dyDescent="0.25">
      <c r="A16" s="24" t="s">
        <v>18</v>
      </c>
      <c r="B16" s="3">
        <v>1.2E-2</v>
      </c>
      <c r="C16" s="3">
        <v>5.8999999999999997E-2</v>
      </c>
      <c r="D16" s="3">
        <v>6.3E-2</v>
      </c>
      <c r="E16" s="3">
        <v>-8.9999999999999993E-3</v>
      </c>
      <c r="F16" s="6">
        <v>1.2E-2</v>
      </c>
      <c r="G16" s="3">
        <v>1.2E-2</v>
      </c>
      <c r="H16" s="3">
        <v>0.02</v>
      </c>
      <c r="I16" s="5">
        <v>-2E-3</v>
      </c>
      <c r="J16" s="3">
        <v>3.1E-2</v>
      </c>
      <c r="K16" s="4">
        <v>1.4999999999999999E-2</v>
      </c>
      <c r="L16" s="4">
        <v>-2E-3</v>
      </c>
      <c r="M16" s="7"/>
      <c r="N16" s="4">
        <v>1.7999999999999999E-2</v>
      </c>
      <c r="O16" s="1"/>
      <c r="P16" s="1"/>
    </row>
    <row r="17" spans="1:21" x14ac:dyDescent="0.25">
      <c r="A17" s="24" t="s">
        <v>20</v>
      </c>
      <c r="B17" s="2">
        <v>236.3</v>
      </c>
      <c r="C17" s="2">
        <v>237</v>
      </c>
      <c r="D17" s="2">
        <v>263.2</v>
      </c>
      <c r="E17" s="2">
        <v>222.2</v>
      </c>
      <c r="F17" s="2">
        <v>225.3</v>
      </c>
      <c r="G17" s="2">
        <v>241</v>
      </c>
      <c r="H17" s="2">
        <v>290.5</v>
      </c>
      <c r="I17" s="2">
        <v>284.8</v>
      </c>
      <c r="J17" s="2">
        <v>246.5</v>
      </c>
      <c r="K17" s="31">
        <v>240.2</v>
      </c>
      <c r="L17" s="31">
        <v>220.6</v>
      </c>
      <c r="M17" s="2"/>
      <c r="N17" s="31">
        <v>2707.7</v>
      </c>
      <c r="O17" s="1"/>
    </row>
    <row r="18" spans="1:21" x14ac:dyDescent="0.25">
      <c r="A18" s="24" t="s">
        <v>18</v>
      </c>
      <c r="B18" s="3">
        <v>-7.1999999999999995E-2</v>
      </c>
      <c r="C18" s="3">
        <v>-6.5000000000000002E-2</v>
      </c>
      <c r="D18" s="3">
        <v>-6.3E-2</v>
      </c>
      <c r="E18" s="3">
        <v>-0.11799999999999999</v>
      </c>
      <c r="F18" s="6">
        <v>-5.1999999999999998E-2</v>
      </c>
      <c r="G18" s="3">
        <v>-0.01</v>
      </c>
      <c r="H18" s="3">
        <v>1.2999999999999999E-2</v>
      </c>
      <c r="I18" s="3">
        <v>-2E-3</v>
      </c>
      <c r="J18" s="3">
        <v>1.7999999999999999E-2</v>
      </c>
      <c r="K18" s="3">
        <v>-1.7999999999999999E-2</v>
      </c>
      <c r="L18" s="4">
        <v>-1.0999999999999999E-2</v>
      </c>
      <c r="M18" s="4"/>
      <c r="N18" s="4">
        <v>-3.4000000000000002E-2</v>
      </c>
      <c r="O18" s="1"/>
    </row>
    <row r="19" spans="1:21" x14ac:dyDescent="0.25">
      <c r="A19" s="24" t="s">
        <v>21</v>
      </c>
      <c r="B19" s="2">
        <v>158.6</v>
      </c>
      <c r="C19" s="2">
        <v>145.80000000000001</v>
      </c>
      <c r="D19" s="2">
        <v>148.6</v>
      </c>
      <c r="E19" s="2">
        <v>139.80000000000001</v>
      </c>
      <c r="F19" s="2">
        <v>111.7</v>
      </c>
      <c r="G19" s="2">
        <v>114.1</v>
      </c>
      <c r="H19" s="2">
        <v>136.4</v>
      </c>
      <c r="I19" s="2">
        <v>137.30000000000001</v>
      </c>
      <c r="J19" s="2">
        <v>116.9</v>
      </c>
      <c r="K19" s="2">
        <v>101.1</v>
      </c>
      <c r="L19" s="31">
        <v>122.6</v>
      </c>
      <c r="M19" s="31"/>
      <c r="N19" s="31">
        <v>1432.8</v>
      </c>
      <c r="O19" s="1"/>
      <c r="P19" s="96"/>
      <c r="Q19" s="96"/>
      <c r="R19" s="96"/>
      <c r="S19" s="96"/>
      <c r="T19" s="96"/>
      <c r="U19" s="96"/>
    </row>
    <row r="20" spans="1:21" x14ac:dyDescent="0.25">
      <c r="A20" s="24" t="s">
        <v>18</v>
      </c>
      <c r="B20" s="3">
        <v>0.10299999999999999</v>
      </c>
      <c r="C20" s="3">
        <v>0.115</v>
      </c>
      <c r="D20" s="3">
        <v>1.4E-2</v>
      </c>
      <c r="E20" s="3">
        <v>8.2000000000000003E-2</v>
      </c>
      <c r="F20" s="6">
        <v>1.9E-2</v>
      </c>
      <c r="G20" s="3">
        <v>7.4999999999999997E-2</v>
      </c>
      <c r="H20" s="3">
        <v>9.0999999999999998E-2</v>
      </c>
      <c r="I20" s="3">
        <v>7.0000000000000007E-2</v>
      </c>
      <c r="J20" s="3">
        <v>0.13300000000000001</v>
      </c>
      <c r="K20" s="3">
        <v>8.2000000000000003E-2</v>
      </c>
      <c r="L20" s="4">
        <v>0.14499999999999999</v>
      </c>
      <c r="M20" s="4"/>
      <c r="N20" s="4">
        <v>8.3000000000000004E-2</v>
      </c>
      <c r="O20" s="1"/>
    </row>
    <row r="21" spans="1:21" x14ac:dyDescent="0.25">
      <c r="A21" s="24" t="s">
        <v>23</v>
      </c>
      <c r="B21" s="2">
        <v>67.900000000000006</v>
      </c>
      <c r="C21" s="2">
        <v>71</v>
      </c>
      <c r="D21" s="2">
        <v>76.400000000000006</v>
      </c>
      <c r="E21" s="2">
        <v>72.2</v>
      </c>
      <c r="F21" s="2" t="s">
        <v>69</v>
      </c>
      <c r="G21" s="2">
        <v>46.2</v>
      </c>
      <c r="H21" s="2">
        <v>70.8</v>
      </c>
      <c r="I21" s="2">
        <v>74.2</v>
      </c>
      <c r="J21" s="2">
        <v>66.900000000000006</v>
      </c>
      <c r="K21" s="11">
        <v>66.7</v>
      </c>
      <c r="L21" s="45">
        <v>63.3</v>
      </c>
      <c r="M21" s="94"/>
      <c r="N21" s="31">
        <v>685.4</v>
      </c>
      <c r="O21" s="1"/>
    </row>
    <row r="22" spans="1:21" x14ac:dyDescent="0.25">
      <c r="A22" s="24" t="s">
        <v>18</v>
      </c>
      <c r="B22" s="3">
        <v>-0.30299999999999999</v>
      </c>
      <c r="C22" s="3">
        <v>-0.219</v>
      </c>
      <c r="D22" s="3">
        <v>-0.215</v>
      </c>
      <c r="E22" s="3">
        <v>-0.22900000000000001</v>
      </c>
      <c r="F22" s="6">
        <v>-0.89400000000000002</v>
      </c>
      <c r="G22" s="3">
        <v>-0.53</v>
      </c>
      <c r="H22" s="3">
        <v>-0.27400000000000002</v>
      </c>
      <c r="I22" s="3">
        <v>-0.24399999999999999</v>
      </c>
      <c r="J22" s="3">
        <v>-0.28699999999999998</v>
      </c>
      <c r="K22" s="3">
        <v>-0.23699999999999999</v>
      </c>
      <c r="L22" s="4">
        <v>-0.20399999999999999</v>
      </c>
      <c r="M22" s="4"/>
      <c r="N22" s="104">
        <v>-0.33200000000000002</v>
      </c>
      <c r="O22" s="1"/>
    </row>
    <row r="23" spans="1:21" x14ac:dyDescent="0.25">
      <c r="A23" s="163" t="s">
        <v>24</v>
      </c>
      <c r="B23" s="164"/>
      <c r="C23" s="164"/>
      <c r="D23" s="164"/>
      <c r="E23" s="164"/>
      <c r="F23" s="164"/>
      <c r="G23" s="164"/>
      <c r="H23" s="164"/>
      <c r="I23" s="164"/>
      <c r="J23" s="164"/>
      <c r="K23" s="164"/>
      <c r="L23" s="164"/>
      <c r="M23" s="164"/>
      <c r="N23" s="165"/>
      <c r="O23" s="1"/>
      <c r="Q23" s="96"/>
    </row>
    <row r="24" spans="1:21" x14ac:dyDescent="0.25">
      <c r="A24" s="24" t="s">
        <v>25</v>
      </c>
      <c r="B24" s="48">
        <v>57.1</v>
      </c>
      <c r="C24" s="48">
        <v>57.5</v>
      </c>
      <c r="D24" s="66">
        <v>71</v>
      </c>
      <c r="E24" s="48">
        <v>67.2</v>
      </c>
      <c r="F24" s="48">
        <v>79.2</v>
      </c>
      <c r="G24" s="48">
        <v>83.5</v>
      </c>
      <c r="H24" s="48">
        <v>113.5</v>
      </c>
      <c r="I24" s="48">
        <v>108.8</v>
      </c>
      <c r="J24" s="48">
        <v>84.9</v>
      </c>
      <c r="K24" s="115">
        <v>77.7</v>
      </c>
      <c r="L24" s="115">
        <v>67.400000000000006</v>
      </c>
      <c r="M24" s="115"/>
      <c r="N24" s="15">
        <f>SUM(B24:M24)</f>
        <v>867.8</v>
      </c>
      <c r="O24" s="1"/>
      <c r="P24" s="80"/>
      <c r="Q24" s="97"/>
    </row>
    <row r="25" spans="1:21" x14ac:dyDescent="0.25">
      <c r="A25" s="24" t="s">
        <v>18</v>
      </c>
      <c r="B25" s="65">
        <v>-1.0398613518197597E-2</v>
      </c>
      <c r="C25" s="65">
        <v>3.4904013961606084E-3</v>
      </c>
      <c r="D25" s="65">
        <v>9.7372488408037042E-2</v>
      </c>
      <c r="E25" s="65">
        <v>-7.6923076923076872E-2</v>
      </c>
      <c r="F25" s="65">
        <v>-1.1235955056179692E-2</v>
      </c>
      <c r="G25" s="65">
        <v>-2.2248243559718994E-2</v>
      </c>
      <c r="H25" s="65">
        <v>2.1602160216021682E-2</v>
      </c>
      <c r="I25" s="65">
        <f>I24/109.4-1</f>
        <v>-5.4844606946984342E-3</v>
      </c>
      <c r="J25" s="65">
        <f>J24/80.9-1</f>
        <v>4.9443757725587067E-2</v>
      </c>
      <c r="K25" s="116">
        <f>K24/80.3-1</f>
        <v>-3.2378580323785711E-2</v>
      </c>
      <c r="L25" s="116">
        <f>L24/64.4-1</f>
        <v>4.658385093167694E-2</v>
      </c>
      <c r="M25" s="116"/>
      <c r="N25" s="116">
        <f>N24/864.1-1</f>
        <v>4.2819118157619851E-3</v>
      </c>
      <c r="O25" s="69"/>
      <c r="P25" s="81"/>
      <c r="Q25" s="81"/>
    </row>
    <row r="26" spans="1:21" x14ac:dyDescent="0.25">
      <c r="A26" s="25" t="s">
        <v>26</v>
      </c>
      <c r="B26" s="48">
        <v>542.1</v>
      </c>
      <c r="C26" s="48">
        <v>550.79999999999995</v>
      </c>
      <c r="D26" s="48">
        <v>626.1</v>
      </c>
      <c r="E26" s="48">
        <v>573.6</v>
      </c>
      <c r="F26" s="48">
        <v>685.7</v>
      </c>
      <c r="G26" s="48">
        <v>741.1</v>
      </c>
      <c r="H26" s="33">
        <v>1031.4000000000001</v>
      </c>
      <c r="I26" s="110">
        <v>1014.1</v>
      </c>
      <c r="J26" s="48">
        <v>758.6</v>
      </c>
      <c r="K26" s="117">
        <v>563.70000000000005</v>
      </c>
      <c r="L26" s="115">
        <v>527.29999999999995</v>
      </c>
      <c r="M26" s="115"/>
      <c r="N26" s="29">
        <f>SUM(B26:M26)</f>
        <v>7614.5000000000009</v>
      </c>
      <c r="O26" s="1"/>
      <c r="P26" s="80"/>
      <c r="Q26" s="82"/>
    </row>
    <row r="27" spans="1:21" x14ac:dyDescent="0.25">
      <c r="A27" s="24" t="s">
        <v>18</v>
      </c>
      <c r="B27" s="65">
        <v>8.0310880829015566E-2</v>
      </c>
      <c r="C27" s="65">
        <v>8.9614243323442047E-2</v>
      </c>
      <c r="D27" s="65">
        <v>0.14965112008813808</v>
      </c>
      <c r="E27" s="65">
        <v>9.5036958817318329E-3</v>
      </c>
      <c r="F27" s="65">
        <v>9.5700824499411752E-3</v>
      </c>
      <c r="G27" s="65">
        <v>5.0460666194188653E-2</v>
      </c>
      <c r="H27" s="65">
        <v>8.2266526757607705E-2</v>
      </c>
      <c r="I27" s="65">
        <f>I26/977.6-1</f>
        <v>3.7336333878887018E-2</v>
      </c>
      <c r="J27" s="65">
        <f>J26/693.9-1</f>
        <v>9.3241101023202155E-2</v>
      </c>
      <c r="K27" s="116">
        <f>K26/590-1</f>
        <v>-4.4576271186440586E-2</v>
      </c>
      <c r="L27" s="116">
        <f>L26/467.9-1</f>
        <v>0.1269502030348364</v>
      </c>
      <c r="M27" s="116"/>
      <c r="N27" s="116">
        <f>N26/7187.2-1</f>
        <v>5.945291629563676E-2</v>
      </c>
      <c r="O27" s="1"/>
      <c r="P27" s="81"/>
      <c r="Q27" s="81"/>
    </row>
    <row r="28" spans="1:21" x14ac:dyDescent="0.25">
      <c r="A28" s="24" t="s">
        <v>27</v>
      </c>
      <c r="B28" s="48">
        <v>90.1</v>
      </c>
      <c r="C28" s="66">
        <v>89</v>
      </c>
      <c r="D28" s="48">
        <v>118.8</v>
      </c>
      <c r="E28" s="48">
        <v>114.4</v>
      </c>
      <c r="F28" s="48">
        <v>149.1</v>
      </c>
      <c r="G28" s="48">
        <v>173.6</v>
      </c>
      <c r="H28" s="48">
        <v>254.6</v>
      </c>
      <c r="I28" s="48">
        <v>249.4</v>
      </c>
      <c r="J28" s="48">
        <v>168.7</v>
      </c>
      <c r="K28" s="117">
        <v>112</v>
      </c>
      <c r="L28" s="115">
        <v>83.8</v>
      </c>
      <c r="M28" s="115"/>
      <c r="N28" s="29">
        <v>1407.7</v>
      </c>
      <c r="O28" s="1"/>
      <c r="P28" s="80"/>
      <c r="Q28" s="80"/>
    </row>
    <row r="29" spans="1:21" x14ac:dyDescent="0.25">
      <c r="A29" s="24" t="s">
        <v>18</v>
      </c>
      <c r="B29" s="65">
        <v>-6.4382139148494319E-2</v>
      </c>
      <c r="C29" s="65">
        <v>-4.0948275862068936E-2</v>
      </c>
      <c r="D29" s="65">
        <v>6.3563115487914004E-2</v>
      </c>
      <c r="E29" s="65">
        <v>-7.2933549432739109E-2</v>
      </c>
      <c r="F29" s="65">
        <v>-6.7024128686321571E-4</v>
      </c>
      <c r="G29" s="65">
        <v>3.394877903513982E-2</v>
      </c>
      <c r="H29" s="65">
        <v>8.9430894308943021E-2</v>
      </c>
      <c r="I29" s="65">
        <f>I28/254.3-1</f>
        <v>-1.926858041683055E-2</v>
      </c>
      <c r="J29" s="65">
        <f>J28/161.8-1</f>
        <v>4.2645241038318682E-2</v>
      </c>
      <c r="K29" s="116">
        <f>K28/125.2-1</f>
        <v>-0.10543130990415339</v>
      </c>
      <c r="L29" s="116">
        <f>L28/84.4-1</f>
        <v>-7.1090047393366218E-3</v>
      </c>
      <c r="M29" s="116"/>
      <c r="N29" s="116">
        <f>N28/1600.7-1</f>
        <v>-0.12057224964078217</v>
      </c>
      <c r="O29" s="1"/>
      <c r="P29" s="81"/>
      <c r="Q29" s="81"/>
    </row>
    <row r="30" spans="1:21" x14ac:dyDescent="0.25">
      <c r="A30" s="24" t="s">
        <v>28</v>
      </c>
      <c r="B30" s="48">
        <v>143.9</v>
      </c>
      <c r="C30" s="48">
        <v>139.19999999999999</v>
      </c>
      <c r="D30" s="48">
        <v>160.30000000000001</v>
      </c>
      <c r="E30" s="48">
        <v>160.80000000000001</v>
      </c>
      <c r="F30" s="48">
        <v>174.8</v>
      </c>
      <c r="G30" s="48">
        <v>175.2</v>
      </c>
      <c r="H30" s="48">
        <v>186.2</v>
      </c>
      <c r="I30" s="48">
        <v>188.9</v>
      </c>
      <c r="J30" s="48">
        <v>173.4</v>
      </c>
      <c r="K30" s="115">
        <v>167.8</v>
      </c>
      <c r="L30" s="115">
        <v>162.19999999999999</v>
      </c>
      <c r="M30" s="115"/>
      <c r="N30" s="29">
        <v>1502.7</v>
      </c>
      <c r="O30" s="1"/>
      <c r="P30" s="80"/>
      <c r="Q30" s="80"/>
    </row>
    <row r="31" spans="1:21" x14ac:dyDescent="0.25">
      <c r="A31" s="24" t="s">
        <v>18</v>
      </c>
      <c r="B31" s="65">
        <v>-0.12309567336989634</v>
      </c>
      <c r="C31" s="65">
        <v>-5.0477489768076436E-2</v>
      </c>
      <c r="D31" s="65">
        <v>-6.1475409836065573E-2</v>
      </c>
      <c r="E31" s="65">
        <v>-9.5613048368953901E-2</v>
      </c>
      <c r="F31" s="65">
        <v>-6.3236870310825255E-2</v>
      </c>
      <c r="G31" s="65">
        <v>-6.9569835369092003E-2</v>
      </c>
      <c r="H31" s="65">
        <v>-8.1401085347804658E-2</v>
      </c>
      <c r="I31" s="65">
        <f>I30/196.8-1</f>
        <v>-4.0142276422764245E-2</v>
      </c>
      <c r="J31" s="65">
        <f>J30/179.3-1</f>
        <v>-3.2905744562186312E-2</v>
      </c>
      <c r="K31" s="116">
        <f>K30/185.5-1</f>
        <v>-9.541778975741233E-2</v>
      </c>
      <c r="L31" s="116">
        <f>L30/162.1-1</f>
        <v>6.1690314620599374E-4</v>
      </c>
      <c r="M31" s="116"/>
      <c r="N31" s="116">
        <f>N30/1960.6-1</f>
        <v>-0.23355095378965618</v>
      </c>
      <c r="O31" s="1"/>
      <c r="P31" s="81"/>
      <c r="Q31" s="81"/>
    </row>
    <row r="32" spans="1:21" x14ac:dyDescent="0.25">
      <c r="A32" s="20" t="s">
        <v>29</v>
      </c>
      <c r="B32" s="21"/>
      <c r="C32" s="21"/>
      <c r="D32" s="21"/>
      <c r="E32" s="21"/>
      <c r="F32" s="21"/>
      <c r="G32" s="21"/>
      <c r="H32" s="21"/>
      <c r="I32" s="21"/>
      <c r="J32" s="21"/>
      <c r="K32" s="21"/>
      <c r="L32" s="21"/>
      <c r="M32" s="21"/>
      <c r="N32" s="22"/>
      <c r="O32" s="1"/>
      <c r="P32" s="73"/>
      <c r="Q32" s="73"/>
    </row>
    <row r="33" spans="1:19" x14ac:dyDescent="0.25">
      <c r="A33" s="24" t="s">
        <v>30</v>
      </c>
      <c r="B33" s="8">
        <v>196.6</v>
      </c>
      <c r="C33" s="8">
        <v>212.2</v>
      </c>
      <c r="D33" s="8">
        <v>239.1</v>
      </c>
      <c r="E33" s="8">
        <v>242.6</v>
      </c>
      <c r="F33" s="8">
        <v>300.5</v>
      </c>
      <c r="G33" s="11">
        <v>349.5</v>
      </c>
      <c r="H33" s="8">
        <v>680.4</v>
      </c>
      <c r="I33" s="8">
        <v>659.5</v>
      </c>
      <c r="J33" s="11">
        <v>475.2</v>
      </c>
      <c r="K33" s="45">
        <v>142</v>
      </c>
      <c r="L33" s="32">
        <v>131.5</v>
      </c>
      <c r="M33" s="32"/>
      <c r="N33" s="31">
        <f>SUM(B33:M33)</f>
        <v>3629.1</v>
      </c>
      <c r="O33" s="43"/>
      <c r="P33" s="102"/>
      <c r="Q33" s="73"/>
      <c r="S33" s="101"/>
    </row>
    <row r="34" spans="1:19" x14ac:dyDescent="0.25">
      <c r="A34" s="24" t="s">
        <v>18</v>
      </c>
      <c r="B34" s="9">
        <v>6.3277447268793877E-2</v>
      </c>
      <c r="C34" s="9">
        <v>0.1251325556733828</v>
      </c>
      <c r="D34" s="9">
        <v>0.17320902845927372</v>
      </c>
      <c r="E34" s="9">
        <v>-1.7000000000000001E-2</v>
      </c>
      <c r="F34" s="9">
        <v>1.4E-2</v>
      </c>
      <c r="G34" s="9">
        <f>G33/326-1</f>
        <v>7.2085889570552064E-2</v>
      </c>
      <c r="H34" s="9">
        <f>H33/630.5-1</f>
        <v>7.9143536875495579E-2</v>
      </c>
      <c r="I34" s="9">
        <f>I33/631.3-1</f>
        <v>4.4669729130365932E-2</v>
      </c>
      <c r="J34" s="9">
        <f>J33/433-1</f>
        <v>9.7459584295612078E-2</v>
      </c>
      <c r="K34" s="111">
        <f>K33/145.8-1</f>
        <v>-2.6063100137174278E-2</v>
      </c>
      <c r="L34" s="111">
        <f>L33/116.7-1</f>
        <v>0.12682090831191095</v>
      </c>
      <c r="M34" s="111"/>
      <c r="N34" s="111">
        <f>N33/3403.7-1</f>
        <v>6.6222052472309612E-2</v>
      </c>
      <c r="O34" s="1"/>
      <c r="P34" s="103"/>
      <c r="Q34" s="73"/>
      <c r="S34" s="96"/>
    </row>
    <row r="35" spans="1:19" x14ac:dyDescent="0.25">
      <c r="A35" s="24" t="s">
        <v>31</v>
      </c>
      <c r="B35" s="11">
        <v>51</v>
      </c>
      <c r="C35" s="11">
        <v>55.2</v>
      </c>
      <c r="D35" s="11">
        <v>71.599999999999994</v>
      </c>
      <c r="E35" s="11">
        <v>140.30000000000001</v>
      </c>
      <c r="F35" s="11">
        <v>180.3</v>
      </c>
      <c r="G35" s="10">
        <v>211.3</v>
      </c>
      <c r="H35" s="10">
        <v>468.2</v>
      </c>
      <c r="I35" s="10">
        <v>453.1</v>
      </c>
      <c r="J35" s="10">
        <v>319.39999999999998</v>
      </c>
      <c r="K35" s="112">
        <v>56.1</v>
      </c>
      <c r="L35" s="112">
        <v>43.3</v>
      </c>
      <c r="M35" s="12"/>
      <c r="N35" s="31">
        <f>SUM(B35:M35)</f>
        <v>2049.8000000000002</v>
      </c>
      <c r="O35" s="1"/>
      <c r="P35" s="1"/>
      <c r="Q35" s="1"/>
    </row>
    <row r="36" spans="1:19" x14ac:dyDescent="0.25">
      <c r="A36" s="24" t="s">
        <v>18</v>
      </c>
      <c r="B36" s="3">
        <v>-3.409090909090904E-2</v>
      </c>
      <c r="C36" s="3">
        <v>2.9850746268656744E-2</v>
      </c>
      <c r="D36" s="3">
        <v>0.1170046801872075</v>
      </c>
      <c r="E36" s="3">
        <v>-4.5999999999999999E-2</v>
      </c>
      <c r="F36" s="3">
        <v>1.2E-2</v>
      </c>
      <c r="G36" s="3">
        <f>G35/200.8-1</f>
        <v>5.2290836653386519E-2</v>
      </c>
      <c r="H36" s="3">
        <f>H35/433.3-1</f>
        <v>8.0544657281329313E-2</v>
      </c>
      <c r="I36" s="3">
        <f>I35/444.9-1</f>
        <v>1.8431108114183026E-2</v>
      </c>
      <c r="J36" s="3">
        <f>J35/296.7-1</f>
        <v>7.6508257499157351E-2</v>
      </c>
      <c r="K36" s="4">
        <f>K35/61.1-1</f>
        <v>-8.1833060556464776E-2</v>
      </c>
      <c r="L36" s="4">
        <f>L35/41.5-1</f>
        <v>4.3373493975903621E-2</v>
      </c>
      <c r="M36" s="4"/>
      <c r="N36" s="4">
        <f>N35/1974-1</f>
        <v>3.8399189463019345E-2</v>
      </c>
      <c r="O36" s="1"/>
      <c r="P36" s="1"/>
      <c r="Q36" s="1"/>
    </row>
    <row r="37" spans="1:19" x14ac:dyDescent="0.25">
      <c r="A37" s="24" t="s">
        <v>32</v>
      </c>
      <c r="B37" s="10">
        <v>8.5</v>
      </c>
      <c r="C37" s="10">
        <v>11.5</v>
      </c>
      <c r="D37" s="10">
        <v>13.1</v>
      </c>
      <c r="E37" s="10">
        <v>19.600000000000001</v>
      </c>
      <c r="F37" s="10">
        <v>41.9</v>
      </c>
      <c r="G37" s="11">
        <v>80</v>
      </c>
      <c r="H37" s="10">
        <v>130.69999999999999</v>
      </c>
      <c r="I37" s="11">
        <v>122.3</v>
      </c>
      <c r="J37" s="10">
        <v>69.599999999999994</v>
      </c>
      <c r="K37" s="45">
        <v>20.024000000000001</v>
      </c>
      <c r="L37" s="112">
        <v>13.2</v>
      </c>
      <c r="M37" s="15"/>
      <c r="N37" s="45">
        <f>SUM(B37:M37)</f>
        <v>530.42399999999998</v>
      </c>
      <c r="O37" s="1"/>
      <c r="P37" s="85"/>
      <c r="Q37" s="86"/>
    </row>
    <row r="38" spans="1:19" x14ac:dyDescent="0.25">
      <c r="A38" s="24" t="s">
        <v>18</v>
      </c>
      <c r="B38" s="6">
        <v>0.26865671641791039</v>
      </c>
      <c r="C38" s="6">
        <v>0.53333333333333333</v>
      </c>
      <c r="D38" s="6">
        <v>0.40860215053763427</v>
      </c>
      <c r="E38" s="6">
        <v>0.32400000000000001</v>
      </c>
      <c r="F38" s="6">
        <v>6.9000000000000006E-2</v>
      </c>
      <c r="G38" s="6">
        <f>G37/73.5-1</f>
        <v>8.8435374149659962E-2</v>
      </c>
      <c r="H38" s="6">
        <f>H37/114.3-1</f>
        <v>0.14348206474190728</v>
      </c>
      <c r="I38" s="6">
        <f>I37/114.1-1</f>
        <v>7.1866783523225175E-2</v>
      </c>
      <c r="J38" s="6">
        <f>J37/59.7-1</f>
        <v>0.16582914572864316</v>
      </c>
      <c r="K38" s="7">
        <f>K37/22-1</f>
        <v>-8.9818181818181797E-2</v>
      </c>
      <c r="L38" s="7">
        <f>L37/7.9-1</f>
        <v>0.67088607594936689</v>
      </c>
      <c r="M38" s="7"/>
      <c r="N38" s="7">
        <f>N37/469-1</f>
        <v>0.13096801705756933</v>
      </c>
      <c r="O38" s="1"/>
      <c r="P38" s="1"/>
      <c r="Q38" s="1"/>
    </row>
    <row r="39" spans="1:19" s="72" customFormat="1" x14ac:dyDescent="0.25">
      <c r="A39" s="24" t="s">
        <v>74</v>
      </c>
      <c r="B39" s="11">
        <v>13.808</v>
      </c>
      <c r="C39" s="11">
        <v>16.170000000000002</v>
      </c>
      <c r="D39" s="11">
        <v>19.420999999999999</v>
      </c>
      <c r="E39" s="11">
        <v>27.869</v>
      </c>
      <c r="F39" s="11">
        <v>36.029000000000003</v>
      </c>
      <c r="G39" s="11">
        <v>40.14</v>
      </c>
      <c r="H39" s="11">
        <v>54.064</v>
      </c>
      <c r="I39" s="11">
        <v>52.825000000000003</v>
      </c>
      <c r="J39" s="11">
        <v>38.073999999999998</v>
      </c>
      <c r="K39" s="11">
        <v>20.100000000000001</v>
      </c>
      <c r="L39" s="45">
        <v>14.3</v>
      </c>
      <c r="M39" s="11"/>
      <c r="N39" s="45">
        <f>SUM(B39:M39)</f>
        <v>332.80000000000007</v>
      </c>
    </row>
    <row r="40" spans="1:19" s="72" customFormat="1" x14ac:dyDescent="0.25">
      <c r="A40" s="24" t="s">
        <v>18</v>
      </c>
      <c r="B40" s="9">
        <f>B39/9.6-1</f>
        <v>0.43833333333333346</v>
      </c>
      <c r="C40" s="9">
        <f>C39/9-1</f>
        <v>0.79666666666666686</v>
      </c>
      <c r="D40" s="9">
        <f>D39/14.8-1</f>
        <v>0.31222972972972962</v>
      </c>
      <c r="E40" s="9">
        <f>E39/19.5-1</f>
        <v>0.42917948717948717</v>
      </c>
      <c r="F40" s="9">
        <f>F39/39.4-1</f>
        <v>-8.5558375634517625E-2</v>
      </c>
      <c r="G40" s="9">
        <f>G39/36.1-1</f>
        <v>0.11191135734072022</v>
      </c>
      <c r="H40" s="9">
        <f>H39/41.9-1</f>
        <v>0.29031026252983305</v>
      </c>
      <c r="I40" s="9">
        <f>I39/47.9-1</f>
        <v>0.10281837160751572</v>
      </c>
      <c r="J40" s="9">
        <f>J39/31.7-1</f>
        <v>0.20107255520504719</v>
      </c>
      <c r="K40" s="9">
        <f>K39/24.679-1</f>
        <v>-0.18554236395315848</v>
      </c>
      <c r="L40" s="111">
        <f>L39/19.9-1</f>
        <v>-0.28140703517587928</v>
      </c>
      <c r="M40" s="9"/>
      <c r="N40" s="111">
        <f>N39/294.479-1</f>
        <v>0.13013152041401965</v>
      </c>
    </row>
    <row r="41" spans="1:19" s="72" customFormat="1" x14ac:dyDescent="0.25">
      <c r="A41" s="24" t="s">
        <v>75</v>
      </c>
      <c r="B41" s="107">
        <v>7.0000000000000001E-3</v>
      </c>
      <c r="C41" s="107">
        <v>3.5999999999999997E-2</v>
      </c>
      <c r="D41" s="107">
        <v>3.1E-2</v>
      </c>
      <c r="E41" s="108">
        <v>4.7E-2</v>
      </c>
      <c r="F41" s="108">
        <v>0.5</v>
      </c>
      <c r="G41" s="108">
        <v>0.53500000000000003</v>
      </c>
      <c r="H41" s="108">
        <v>0.95</v>
      </c>
      <c r="I41" s="108">
        <v>0.81</v>
      </c>
      <c r="J41" s="108">
        <v>0.40300000000000002</v>
      </c>
      <c r="K41" s="113">
        <v>2.3E-2</v>
      </c>
      <c r="L41" s="114">
        <v>1.7999999999999999E-2</v>
      </c>
      <c r="M41" s="114"/>
      <c r="N41" s="114">
        <f>SUM(E41:M41)</f>
        <v>3.286</v>
      </c>
    </row>
    <row r="42" spans="1:19" s="72" customFormat="1" x14ac:dyDescent="0.25">
      <c r="A42" s="24" t="s">
        <v>18</v>
      </c>
      <c r="B42" s="109">
        <f>B41/0.002-1</f>
        <v>2.5</v>
      </c>
      <c r="C42" s="109">
        <f>C41/0.019-1</f>
        <v>0.89473684210526305</v>
      </c>
      <c r="D42" s="109">
        <f>D41/0.017-1</f>
        <v>0.82352941176470584</v>
      </c>
      <c r="E42" s="9">
        <f>E41/0.016-1</f>
        <v>1.9375</v>
      </c>
      <c r="F42" s="9">
        <f>F41/0.35-1</f>
        <v>0.4285714285714286</v>
      </c>
      <c r="G42" s="9">
        <f>G41/0.42-1</f>
        <v>0.27380952380952395</v>
      </c>
      <c r="H42" s="9">
        <f>H41/0.877-1</f>
        <v>8.3238312428734362E-2</v>
      </c>
      <c r="I42" s="9">
        <f>I41/0.997-1</f>
        <v>-0.18756268806419252</v>
      </c>
      <c r="J42" s="9">
        <f>J41/0.354-1</f>
        <v>0.13841807909604542</v>
      </c>
      <c r="K42" s="9">
        <f>K41/0.034-1</f>
        <v>-0.32352941176470595</v>
      </c>
      <c r="L42" s="111">
        <f>L41/0.011-1</f>
        <v>0.63636363636363624</v>
      </c>
      <c r="M42" s="111"/>
      <c r="N42" s="111">
        <f>N41/3.069-1</f>
        <v>7.0707070707070718E-2</v>
      </c>
      <c r="Q42" s="99"/>
    </row>
    <row r="43" spans="1:19" x14ac:dyDescent="0.25">
      <c r="A43" s="153" t="s">
        <v>33</v>
      </c>
      <c r="B43" s="153"/>
      <c r="C43" s="153"/>
      <c r="D43" s="153"/>
      <c r="E43" s="153"/>
      <c r="F43" s="153"/>
      <c r="G43" s="153"/>
      <c r="H43" s="153"/>
      <c r="I43" s="153"/>
      <c r="J43" s="153"/>
      <c r="K43" s="153"/>
      <c r="L43" s="153"/>
      <c r="M43" s="153"/>
      <c r="N43" s="153"/>
      <c r="O43" s="1"/>
      <c r="P43" s="1"/>
      <c r="Q43" s="99"/>
    </row>
    <row r="44" spans="1:19" x14ac:dyDescent="0.25">
      <c r="A44" s="24" t="s">
        <v>34</v>
      </c>
      <c r="B44" s="47">
        <v>138</v>
      </c>
      <c r="C44" s="13">
        <v>135.69999999999999</v>
      </c>
      <c r="D44" s="67">
        <v>138.6</v>
      </c>
      <c r="E44" s="47">
        <v>141</v>
      </c>
      <c r="F44" s="79">
        <v>141.1</v>
      </c>
      <c r="G44" s="13">
        <v>146.9</v>
      </c>
      <c r="H44" s="13">
        <v>145.30000000000001</v>
      </c>
      <c r="I44" s="13">
        <v>151.19999999999999</v>
      </c>
      <c r="J44" s="13">
        <v>150.9</v>
      </c>
      <c r="K44" s="13">
        <v>148.9</v>
      </c>
      <c r="L44" s="13">
        <v>148.4</v>
      </c>
      <c r="M44" s="15">
        <v>147</v>
      </c>
      <c r="N44" s="18">
        <f>AVERAGE(B44:M44)</f>
        <v>144.41666666666669</v>
      </c>
      <c r="O44" s="1"/>
      <c r="P44" s="72"/>
      <c r="Q44" s="99"/>
      <c r="R44" s="72"/>
      <c r="S44" s="72"/>
    </row>
    <row r="45" spans="1:19" x14ac:dyDescent="0.25">
      <c r="A45" s="24" t="s">
        <v>18</v>
      </c>
      <c r="B45" s="5">
        <v>-0.12</v>
      </c>
      <c r="C45" s="50">
        <v>-0.13700000000000001</v>
      </c>
      <c r="D45" s="68">
        <v>-0.111</v>
      </c>
      <c r="E45" s="5">
        <v>-8.1000000000000003E-2</v>
      </c>
      <c r="F45" s="5">
        <v>-0.1</v>
      </c>
      <c r="G45" s="5">
        <v>-6.6000000000000003E-2</v>
      </c>
      <c r="H45" s="5">
        <v>-5.6000000000000001E-2</v>
      </c>
      <c r="I45" s="5">
        <v>-1.9E-2</v>
      </c>
      <c r="J45" s="5">
        <v>1.0999999999999999E-2</v>
      </c>
      <c r="K45" s="5">
        <v>-2.1999999999999999E-2</v>
      </c>
      <c r="L45" s="5">
        <v>-3.0000000000000001E-3</v>
      </c>
      <c r="M45" s="14">
        <v>4.3999999999999997E-2</v>
      </c>
      <c r="N45" s="19">
        <v>-5.7000000000000002E-2</v>
      </c>
      <c r="O45" s="1"/>
      <c r="P45" s="1"/>
      <c r="Q45" s="99"/>
    </row>
    <row r="46" spans="1:19" x14ac:dyDescent="0.25">
      <c r="A46" s="120" t="s">
        <v>90</v>
      </c>
      <c r="B46" s="120"/>
      <c r="C46" s="120"/>
      <c r="D46" s="120"/>
      <c r="E46" s="120"/>
      <c r="F46" s="120"/>
      <c r="G46" s="120"/>
      <c r="H46" s="120"/>
      <c r="I46" s="120"/>
      <c r="J46" s="120"/>
      <c r="K46" s="120"/>
      <c r="L46" s="120"/>
      <c r="M46" s="120"/>
      <c r="N46" s="120"/>
      <c r="O46" s="1"/>
      <c r="P46" s="1"/>
      <c r="Q46" s="100"/>
    </row>
    <row r="47" spans="1:19" x14ac:dyDescent="0.25">
      <c r="A47" s="24" t="s">
        <v>2</v>
      </c>
      <c r="B47" s="23" t="s">
        <v>3</v>
      </c>
      <c r="C47" s="23" t="s">
        <v>4</v>
      </c>
      <c r="D47" s="23" t="s">
        <v>5</v>
      </c>
      <c r="E47" s="23" t="s">
        <v>6</v>
      </c>
      <c r="F47" s="23" t="s">
        <v>7</v>
      </c>
      <c r="G47" s="23" t="s">
        <v>8</v>
      </c>
      <c r="H47" s="23" t="s">
        <v>9</v>
      </c>
      <c r="I47" s="23" t="s">
        <v>10</v>
      </c>
      <c r="J47" s="23" t="s">
        <v>11</v>
      </c>
      <c r="K47" s="23" t="s">
        <v>12</v>
      </c>
      <c r="L47" s="23" t="s">
        <v>13</v>
      </c>
      <c r="M47" s="23" t="s">
        <v>14</v>
      </c>
      <c r="N47" s="23" t="s">
        <v>15</v>
      </c>
      <c r="O47" s="1"/>
      <c r="P47" s="1"/>
      <c r="Q47" s="101"/>
    </row>
    <row r="48" spans="1:19" x14ac:dyDescent="0.25">
      <c r="A48" s="154" t="s">
        <v>77</v>
      </c>
      <c r="B48" s="155"/>
      <c r="C48" s="155"/>
      <c r="D48" s="155"/>
      <c r="E48" s="155"/>
      <c r="F48" s="155"/>
      <c r="G48" s="155"/>
      <c r="H48" s="155"/>
      <c r="I48" s="155"/>
      <c r="J48" s="155"/>
      <c r="K48" s="155"/>
      <c r="L48" s="155"/>
      <c r="M48" s="155"/>
      <c r="N48" s="156"/>
      <c r="O48" s="1"/>
      <c r="P48" s="1"/>
      <c r="Q48" s="1"/>
    </row>
    <row r="49" spans="1:17" x14ac:dyDescent="0.25">
      <c r="A49" s="24" t="s">
        <v>35</v>
      </c>
      <c r="B49" s="51">
        <v>0.497</v>
      </c>
      <c r="C49" s="51">
        <v>0.59</v>
      </c>
      <c r="D49" s="74">
        <v>0.61</v>
      </c>
      <c r="E49" s="51">
        <v>0.60699999999999998</v>
      </c>
      <c r="F49" s="51">
        <v>0.747</v>
      </c>
      <c r="G49" s="87">
        <v>0.61799999999999999</v>
      </c>
      <c r="H49" s="51">
        <v>0.59199999999999997</v>
      </c>
      <c r="I49" s="51">
        <v>0.60099999999999998</v>
      </c>
      <c r="J49" s="51">
        <v>0.60199999999999998</v>
      </c>
      <c r="K49" s="51">
        <v>0.60199999999999998</v>
      </c>
      <c r="L49" s="60">
        <v>0.60099999999999998</v>
      </c>
      <c r="M49" s="51"/>
      <c r="N49" s="60">
        <v>0.60599999999999998</v>
      </c>
      <c r="O49" s="1"/>
      <c r="P49" s="40"/>
      <c r="Q49" s="1"/>
    </row>
    <row r="50" spans="1:17" x14ac:dyDescent="0.25">
      <c r="A50" s="55" t="s">
        <v>36</v>
      </c>
      <c r="B50" s="53">
        <v>-5</v>
      </c>
      <c r="C50" s="52">
        <v>-6.7</v>
      </c>
      <c r="D50" s="75">
        <v>-6.2</v>
      </c>
      <c r="E50" s="52">
        <v>-7.3</v>
      </c>
      <c r="F50" s="52">
        <v>10.5</v>
      </c>
      <c r="G50" s="88">
        <v>-8</v>
      </c>
      <c r="H50" s="52">
        <v>-5.7</v>
      </c>
      <c r="I50" s="52">
        <v>-4.0999999999999996</v>
      </c>
      <c r="J50" s="53">
        <v>-4.4000000000000004</v>
      </c>
      <c r="K50" s="52">
        <v>-2.6</v>
      </c>
      <c r="L50" s="118">
        <v>-1.9</v>
      </c>
      <c r="M50" s="52"/>
      <c r="N50" s="64">
        <v>-3.8</v>
      </c>
      <c r="O50" s="1"/>
      <c r="P50" s="40"/>
      <c r="Q50" s="1"/>
    </row>
    <row r="51" spans="1:17" x14ac:dyDescent="0.25">
      <c r="A51" s="56" t="s">
        <v>37</v>
      </c>
      <c r="B51" s="54">
        <v>128.02000000000001</v>
      </c>
      <c r="C51" s="54">
        <v>131.88</v>
      </c>
      <c r="D51" s="76">
        <v>131.91</v>
      </c>
      <c r="E51" s="54">
        <v>130.77000000000001</v>
      </c>
      <c r="F51" s="54">
        <v>124.87</v>
      </c>
      <c r="G51" s="89">
        <v>130.16999999999999</v>
      </c>
      <c r="H51" s="98">
        <v>127.47</v>
      </c>
      <c r="I51" s="54">
        <v>127.57</v>
      </c>
      <c r="J51" s="54">
        <v>128.13999999999999</v>
      </c>
      <c r="K51" s="54">
        <v>131.27000000000001</v>
      </c>
      <c r="L51" s="119">
        <v>134.32</v>
      </c>
      <c r="M51" s="54"/>
      <c r="N51" s="62">
        <v>130.06</v>
      </c>
      <c r="O51" s="1"/>
      <c r="P51" s="1"/>
      <c r="Q51" s="1"/>
    </row>
    <row r="52" spans="1:17" x14ac:dyDescent="0.25">
      <c r="A52" s="56" t="s">
        <v>38</v>
      </c>
      <c r="B52" s="58">
        <v>-0.05</v>
      </c>
      <c r="C52" s="58">
        <v>-4.2999999999999997E-2</v>
      </c>
      <c r="D52" s="58">
        <v>-0.05</v>
      </c>
      <c r="E52" s="58">
        <v>-4.9000000000000002E-2</v>
      </c>
      <c r="F52" s="58">
        <v>-8.5999999999999993E-2</v>
      </c>
      <c r="G52" s="58">
        <v>-7.0000000000000007E-2</v>
      </c>
      <c r="H52" s="58">
        <v>-4.4999999999999998E-2</v>
      </c>
      <c r="I52" s="58">
        <v>-4.9000000000000002E-2</v>
      </c>
      <c r="J52" s="58">
        <v>-6.9000000000000006E-2</v>
      </c>
      <c r="K52" s="58">
        <v>-4.1000000000000002E-2</v>
      </c>
      <c r="L52" s="63">
        <v>-2.7E-2</v>
      </c>
      <c r="M52" s="58"/>
      <c r="N52" s="63">
        <v>-4.9000000000000002E-2</v>
      </c>
      <c r="O52" s="1"/>
      <c r="P52" s="1"/>
      <c r="Q52" s="1"/>
    </row>
    <row r="53" spans="1:17" x14ac:dyDescent="0.25">
      <c r="A53" s="56" t="s">
        <v>39</v>
      </c>
      <c r="B53" s="54">
        <v>63.58</v>
      </c>
      <c r="C53" s="54">
        <v>77.83</v>
      </c>
      <c r="D53" s="54">
        <v>80.459999999999994</v>
      </c>
      <c r="E53" s="54">
        <v>79.38</v>
      </c>
      <c r="F53" s="54">
        <v>93.28</v>
      </c>
      <c r="G53" s="54">
        <v>80.510000000000005</v>
      </c>
      <c r="H53" s="54">
        <v>75.430000000000007</v>
      </c>
      <c r="I53" s="54">
        <v>76.63</v>
      </c>
      <c r="J53" s="54">
        <v>77.180000000000007</v>
      </c>
      <c r="K53" s="54">
        <v>79.040000000000006</v>
      </c>
      <c r="L53" s="62">
        <v>80.790000000000006</v>
      </c>
      <c r="M53" s="54"/>
      <c r="N53" s="62">
        <v>78.83</v>
      </c>
      <c r="O53" s="1"/>
      <c r="P53" s="1"/>
    </row>
    <row r="54" spans="1:17" x14ac:dyDescent="0.25">
      <c r="A54" s="24" t="s">
        <v>40</v>
      </c>
      <c r="B54" s="51">
        <v>0.45800000000000002</v>
      </c>
      <c r="C54" s="51">
        <v>0.50900000000000001</v>
      </c>
      <c r="D54" s="74">
        <v>0.53500000000000003</v>
      </c>
      <c r="E54" s="51">
        <v>0.56399999999999995</v>
      </c>
      <c r="F54" s="51">
        <v>0.63200000000000001</v>
      </c>
      <c r="G54" s="50">
        <v>0.67800000000000005</v>
      </c>
      <c r="H54" s="51">
        <v>0.78100000000000003</v>
      </c>
      <c r="I54" s="51">
        <v>0.70799999999999996</v>
      </c>
      <c r="J54" s="51">
        <v>0.67500000000000004</v>
      </c>
      <c r="K54" s="51">
        <v>0.55600000000000005</v>
      </c>
      <c r="L54" s="60">
        <v>0.53300000000000003</v>
      </c>
      <c r="M54" s="51"/>
      <c r="N54" s="60">
        <v>0.60299999999999998</v>
      </c>
      <c r="O54" s="1"/>
      <c r="P54" s="1"/>
    </row>
    <row r="55" spans="1:17" x14ac:dyDescent="0.25">
      <c r="A55" s="55" t="s">
        <v>36</v>
      </c>
      <c r="B55" s="53">
        <v>-9.4</v>
      </c>
      <c r="C55" s="52">
        <v>-11.1</v>
      </c>
      <c r="D55" s="75">
        <v>-10.199999999999999</v>
      </c>
      <c r="E55" s="78">
        <v>-8.3000000000000007</v>
      </c>
      <c r="F55" s="52">
        <v>-6.5</v>
      </c>
      <c r="G55" s="90">
        <v>-2.2999999999999998</v>
      </c>
      <c r="H55" s="53">
        <v>0</v>
      </c>
      <c r="I55" s="53">
        <v>-5</v>
      </c>
      <c r="J55" s="53">
        <v>-3</v>
      </c>
      <c r="K55" s="52">
        <v>-7.6</v>
      </c>
      <c r="L55" s="61">
        <v>-1.4</v>
      </c>
      <c r="M55" s="52"/>
      <c r="N55" s="61">
        <v>-5.9</v>
      </c>
      <c r="O55" s="1"/>
      <c r="P55" s="1"/>
    </row>
    <row r="56" spans="1:17" x14ac:dyDescent="0.25">
      <c r="A56" s="55" t="s">
        <v>41</v>
      </c>
      <c r="B56" s="54">
        <v>138.84</v>
      </c>
      <c r="C56" s="54">
        <v>138.97999999999999</v>
      </c>
      <c r="D56" s="76">
        <v>137.57</v>
      </c>
      <c r="E56" s="54">
        <v>142.24</v>
      </c>
      <c r="F56" s="54">
        <v>139.55000000000001</v>
      </c>
      <c r="G56" s="89">
        <v>157.87</v>
      </c>
      <c r="H56" s="54">
        <v>167.43</v>
      </c>
      <c r="I56" s="54">
        <v>136.13999999999999</v>
      </c>
      <c r="J56" s="52">
        <v>148.33000000000001</v>
      </c>
      <c r="K56" s="54">
        <v>141.19</v>
      </c>
      <c r="L56" s="62">
        <v>145.72</v>
      </c>
      <c r="M56" s="54"/>
      <c r="N56" s="62">
        <v>146.71</v>
      </c>
      <c r="O56" s="1"/>
      <c r="P56" s="1"/>
    </row>
    <row r="57" spans="1:17" x14ac:dyDescent="0.25">
      <c r="A57" s="55" t="s">
        <v>38</v>
      </c>
      <c r="B57" s="58">
        <v>-0.104</v>
      </c>
      <c r="C57" s="58">
        <v>-0.107</v>
      </c>
      <c r="D57" s="58">
        <v>-0.121</v>
      </c>
      <c r="E57" s="58">
        <v>-8.5999999999999993E-2</v>
      </c>
      <c r="F57" s="58">
        <v>-0.121</v>
      </c>
      <c r="G57" s="58">
        <v>-7.6999999999999999E-2</v>
      </c>
      <c r="H57" s="58">
        <v>-8.2000000000000003E-2</v>
      </c>
      <c r="I57" s="58">
        <v>-7.3999999999999996E-2</v>
      </c>
      <c r="J57" s="58">
        <v>-5.7000000000000002E-2</v>
      </c>
      <c r="K57" s="58">
        <v>-9.0999999999999998E-2</v>
      </c>
      <c r="L57" s="63">
        <v>-5.0999999999999997E-2</v>
      </c>
      <c r="M57" s="58"/>
      <c r="N57" s="63">
        <v>-8.1000000000000003E-2</v>
      </c>
      <c r="O57" s="1"/>
      <c r="P57" s="1"/>
    </row>
    <row r="58" spans="1:17" x14ac:dyDescent="0.25">
      <c r="A58" s="57" t="s">
        <v>42</v>
      </c>
      <c r="B58" s="54">
        <v>63.63</v>
      </c>
      <c r="C58" s="54">
        <v>70.69</v>
      </c>
      <c r="D58" s="54">
        <v>73.650000000000006</v>
      </c>
      <c r="E58" s="54">
        <v>80.23</v>
      </c>
      <c r="F58" s="54">
        <v>88.23</v>
      </c>
      <c r="G58" s="54">
        <v>107.03</v>
      </c>
      <c r="H58" s="54">
        <v>130.71</v>
      </c>
      <c r="I58" s="54">
        <v>96.42</v>
      </c>
      <c r="J58" s="54">
        <v>100.19</v>
      </c>
      <c r="K58" s="54">
        <v>78.510000000000005</v>
      </c>
      <c r="L58" s="62">
        <v>77.73</v>
      </c>
      <c r="M58" s="54"/>
      <c r="N58" s="62">
        <v>88.44</v>
      </c>
      <c r="O58" s="1"/>
      <c r="P58" s="1"/>
    </row>
    <row r="59" spans="1:17" x14ac:dyDescent="0.25">
      <c r="A59" s="24" t="s">
        <v>43</v>
      </c>
      <c r="B59" s="51">
        <v>0.42499999999999999</v>
      </c>
      <c r="C59" s="51">
        <v>0.53900000000000003</v>
      </c>
      <c r="D59" s="74">
        <v>0.55400000000000005</v>
      </c>
      <c r="E59" s="51">
        <v>0.46800000000000003</v>
      </c>
      <c r="F59" s="51">
        <v>0.63500000000000001</v>
      </c>
      <c r="G59" s="6">
        <v>0.83399999999999996</v>
      </c>
      <c r="H59" s="51">
        <v>0.93100000000000005</v>
      </c>
      <c r="I59" s="51">
        <v>0.93899999999999995</v>
      </c>
      <c r="J59" s="51">
        <v>0.875</v>
      </c>
      <c r="K59" s="51">
        <v>0.57399999999999995</v>
      </c>
      <c r="L59" s="60">
        <v>0.41399999999999998</v>
      </c>
      <c r="M59" s="51"/>
      <c r="N59" s="60">
        <v>0.65800000000000003</v>
      </c>
      <c r="O59" s="1"/>
      <c r="P59" s="1"/>
    </row>
    <row r="60" spans="1:17" x14ac:dyDescent="0.25">
      <c r="A60" s="55" t="s">
        <v>36</v>
      </c>
      <c r="B60" s="53">
        <v>1.6</v>
      </c>
      <c r="C60" s="53">
        <v>0.5</v>
      </c>
      <c r="D60" s="75">
        <v>5.6</v>
      </c>
      <c r="E60" s="52">
        <v>-1.6</v>
      </c>
      <c r="F60" s="52">
        <v>3.4</v>
      </c>
      <c r="G60" s="91">
        <v>6.5</v>
      </c>
      <c r="H60" s="52">
        <v>2.5</v>
      </c>
      <c r="I60" s="52">
        <v>1.9</v>
      </c>
      <c r="J60" s="53">
        <v>5.3</v>
      </c>
      <c r="K60" s="52">
        <v>-1.3</v>
      </c>
      <c r="L60" s="64">
        <v>3.5</v>
      </c>
      <c r="M60" s="53"/>
      <c r="N60" s="64">
        <v>2.5</v>
      </c>
      <c r="O60" s="1"/>
      <c r="P60" s="1"/>
    </row>
    <row r="61" spans="1:17" x14ac:dyDescent="0.25">
      <c r="A61" s="56" t="s">
        <v>41</v>
      </c>
      <c r="B61" s="54">
        <v>184.26</v>
      </c>
      <c r="C61" s="54">
        <v>195.28</v>
      </c>
      <c r="D61" s="76">
        <v>195.4</v>
      </c>
      <c r="E61" s="54">
        <v>180.42</v>
      </c>
      <c r="F61" s="54">
        <v>213.16</v>
      </c>
      <c r="G61" s="92">
        <v>279.58</v>
      </c>
      <c r="H61" s="54">
        <v>335.54</v>
      </c>
      <c r="I61" s="54">
        <v>332.47</v>
      </c>
      <c r="J61" s="54">
        <v>283.97000000000003</v>
      </c>
      <c r="K61" s="54">
        <v>203.64</v>
      </c>
      <c r="L61" s="62">
        <v>184.25</v>
      </c>
      <c r="M61" s="54"/>
      <c r="N61" s="62">
        <v>251.92</v>
      </c>
      <c r="O61" s="1"/>
      <c r="P61" s="1"/>
    </row>
    <row r="62" spans="1:17" x14ac:dyDescent="0.25">
      <c r="A62" s="56" t="s">
        <v>38</v>
      </c>
      <c r="B62" s="58">
        <v>8.9999999999999993E-3</v>
      </c>
      <c r="C62" s="58">
        <v>0.107</v>
      </c>
      <c r="D62" s="58">
        <v>0.14299999999999999</v>
      </c>
      <c r="E62" s="58">
        <v>5.8000000000000003E-2</v>
      </c>
      <c r="F62" s="58">
        <v>7.0000000000000007E-2</v>
      </c>
      <c r="G62" s="58">
        <v>9.0999999999999998E-2</v>
      </c>
      <c r="H62" s="58">
        <v>0.155</v>
      </c>
      <c r="I62" s="58">
        <v>0.123</v>
      </c>
      <c r="J62" s="58">
        <v>0.10299999999999999</v>
      </c>
      <c r="K62" s="58">
        <v>7.3999999999999996E-2</v>
      </c>
      <c r="L62" s="63">
        <v>0.107</v>
      </c>
      <c r="M62" s="58"/>
      <c r="N62" s="63">
        <v>0.10100000000000001</v>
      </c>
      <c r="O62" s="1"/>
      <c r="P62" s="1"/>
    </row>
    <row r="63" spans="1:17" x14ac:dyDescent="0.25">
      <c r="A63" s="56" t="s">
        <v>42</v>
      </c>
      <c r="B63" s="54">
        <v>78.400000000000006</v>
      </c>
      <c r="C63" s="54">
        <v>105.22</v>
      </c>
      <c r="D63" s="54">
        <v>108.31</v>
      </c>
      <c r="E63" s="54">
        <v>84.36</v>
      </c>
      <c r="F63" s="54">
        <v>135.4</v>
      </c>
      <c r="G63" s="54">
        <v>235.58</v>
      </c>
      <c r="H63" s="54">
        <v>312.41000000000003</v>
      </c>
      <c r="I63" s="54">
        <v>312.04000000000002</v>
      </c>
      <c r="J63" s="54">
        <v>248.52</v>
      </c>
      <c r="K63" s="54">
        <v>116.94</v>
      </c>
      <c r="L63" s="62">
        <v>76.25</v>
      </c>
      <c r="M63" s="54"/>
      <c r="N63" s="62">
        <v>165.76</v>
      </c>
      <c r="O63" s="1"/>
      <c r="P63" s="40"/>
    </row>
    <row r="64" spans="1:17" x14ac:dyDescent="0.25">
      <c r="A64" s="25" t="s">
        <v>70</v>
      </c>
      <c r="B64" s="51">
        <v>0.35299999999999998</v>
      </c>
      <c r="C64" s="51">
        <v>0.39600000000000002</v>
      </c>
      <c r="D64" s="74">
        <v>0.40400000000000003</v>
      </c>
      <c r="E64" s="51">
        <v>0.39200000000000002</v>
      </c>
      <c r="F64" s="51">
        <v>0.42399999999999999</v>
      </c>
      <c r="G64" s="6">
        <v>0.48299999999999998</v>
      </c>
      <c r="H64" s="51">
        <v>0.51600000000000001</v>
      </c>
      <c r="I64" s="51">
        <v>0.52100000000000002</v>
      </c>
      <c r="J64" s="51">
        <v>0.502</v>
      </c>
      <c r="K64" s="51">
        <v>0.45500000000000002</v>
      </c>
      <c r="L64" s="60">
        <v>0.436</v>
      </c>
      <c r="M64" s="51"/>
      <c r="N64" s="60">
        <v>0.442</v>
      </c>
      <c r="O64" s="1"/>
      <c r="P64" s="1"/>
    </row>
    <row r="65" spans="1:18" x14ac:dyDescent="0.25">
      <c r="A65" s="55" t="s">
        <v>36</v>
      </c>
      <c r="B65" s="52">
        <v>-17.100000000000001</v>
      </c>
      <c r="C65" s="52">
        <v>-15.9</v>
      </c>
      <c r="D65" s="75">
        <v>-12.7</v>
      </c>
      <c r="E65" s="52">
        <v>-9.8000000000000007</v>
      </c>
      <c r="F65" s="52">
        <v>-8.6999999999999993</v>
      </c>
      <c r="G65" s="91">
        <v>-10.3</v>
      </c>
      <c r="H65" s="52">
        <v>-6.9</v>
      </c>
      <c r="I65" s="52">
        <v>-4.8</v>
      </c>
      <c r="J65" s="52">
        <v>-5.4</v>
      </c>
      <c r="K65" s="53">
        <v>-5</v>
      </c>
      <c r="L65" s="64">
        <v>-2</v>
      </c>
      <c r="M65" s="53"/>
      <c r="N65" s="64">
        <v>-9.1</v>
      </c>
      <c r="O65" s="1"/>
      <c r="P65" s="1"/>
    </row>
    <row r="66" spans="1:18" x14ac:dyDescent="0.25">
      <c r="A66" s="56" t="s">
        <v>41</v>
      </c>
      <c r="B66" s="54">
        <v>122.2</v>
      </c>
      <c r="C66" s="54">
        <v>123.1</v>
      </c>
      <c r="D66" s="76">
        <v>120.47</v>
      </c>
      <c r="E66" s="54">
        <v>116.27</v>
      </c>
      <c r="F66" s="54">
        <v>113.49</v>
      </c>
      <c r="G66" s="92">
        <v>123.76</v>
      </c>
      <c r="H66" s="54">
        <v>123.52</v>
      </c>
      <c r="I66" s="54">
        <v>121.13</v>
      </c>
      <c r="J66" s="54">
        <v>118.23</v>
      </c>
      <c r="K66" s="54">
        <v>116.45</v>
      </c>
      <c r="L66" s="62">
        <v>117.56</v>
      </c>
      <c r="M66" s="54"/>
      <c r="N66" s="62">
        <v>119.72</v>
      </c>
      <c r="O66" s="1"/>
      <c r="P66" s="1"/>
    </row>
    <row r="67" spans="1:18" x14ac:dyDescent="0.25">
      <c r="A67" s="56" t="s">
        <v>38</v>
      </c>
      <c r="B67" s="58">
        <v>-0.09</v>
      </c>
      <c r="C67" s="58">
        <v>-7.8E-2</v>
      </c>
      <c r="D67" s="58">
        <v>-8.3000000000000004E-2</v>
      </c>
      <c r="E67" s="58">
        <v>-0.104</v>
      </c>
      <c r="F67" s="58">
        <v>-0.107</v>
      </c>
      <c r="G67" s="58">
        <v>-3.6999999999999998E-2</v>
      </c>
      <c r="H67" s="58">
        <v>-4.4999999999999998E-2</v>
      </c>
      <c r="I67" s="58">
        <v>-5.8999999999999997E-2</v>
      </c>
      <c r="J67" s="58">
        <v>-7.4999999999999997E-2</v>
      </c>
      <c r="K67" s="58">
        <v>-7.5999999999999998E-2</v>
      </c>
      <c r="L67" s="63">
        <v>-7.1999999999999995E-2</v>
      </c>
      <c r="M67" s="58"/>
      <c r="N67" s="63">
        <v>-7.4999999999999997E-2</v>
      </c>
      <c r="O67" s="1"/>
      <c r="P67" s="1"/>
    </row>
    <row r="68" spans="1:18" x14ac:dyDescent="0.25">
      <c r="A68" s="56" t="s">
        <v>42</v>
      </c>
      <c r="B68" s="54">
        <v>43.09</v>
      </c>
      <c r="C68" s="54">
        <v>48.69</v>
      </c>
      <c r="D68" s="54">
        <v>48.7</v>
      </c>
      <c r="E68" s="54">
        <v>45.62</v>
      </c>
      <c r="F68" s="54">
        <v>48.15</v>
      </c>
      <c r="G68" s="54">
        <v>59.78</v>
      </c>
      <c r="H68" s="54">
        <v>63.74</v>
      </c>
      <c r="I68" s="54">
        <v>63.07</v>
      </c>
      <c r="J68" s="54">
        <v>59.37</v>
      </c>
      <c r="K68" s="54">
        <v>52.98</v>
      </c>
      <c r="L68" s="62">
        <v>51.29</v>
      </c>
      <c r="M68" s="54"/>
      <c r="N68" s="62">
        <v>52.91</v>
      </c>
      <c r="O68" s="1"/>
      <c r="P68" s="1"/>
    </row>
    <row r="69" spans="1:18" x14ac:dyDescent="0.25">
      <c r="A69" s="59" t="s">
        <v>44</v>
      </c>
      <c r="B69" s="51">
        <v>0.42399999999999999</v>
      </c>
      <c r="C69" s="51">
        <v>0.48299999999999998</v>
      </c>
      <c r="D69" s="74">
        <v>0.499</v>
      </c>
      <c r="E69" s="51">
        <v>0.503</v>
      </c>
      <c r="F69" s="51">
        <v>0.57599999999999996</v>
      </c>
      <c r="G69" s="6">
        <v>0.57999999999999996</v>
      </c>
      <c r="H69" s="51">
        <v>0.61699999999999999</v>
      </c>
      <c r="I69" s="51">
        <v>0.6</v>
      </c>
      <c r="J69" s="51">
        <v>0.58199999999999996</v>
      </c>
      <c r="K69" s="51">
        <v>0.52600000000000002</v>
      </c>
      <c r="L69" s="60">
        <v>0.51200000000000001</v>
      </c>
      <c r="M69" s="51"/>
      <c r="N69" s="60">
        <v>0.53600000000000003</v>
      </c>
      <c r="O69" s="1"/>
      <c r="P69" s="1"/>
      <c r="Q69" s="1"/>
    </row>
    <row r="70" spans="1:18" x14ac:dyDescent="0.25">
      <c r="A70" s="55" t="s">
        <v>36</v>
      </c>
      <c r="B70" s="53">
        <v>-11.5</v>
      </c>
      <c r="C70" s="53">
        <v>-12.1</v>
      </c>
      <c r="D70" s="77">
        <v>-10.4</v>
      </c>
      <c r="E70" s="53">
        <v>-8.8000000000000007</v>
      </c>
      <c r="F70" s="53">
        <v>-2.8</v>
      </c>
      <c r="G70" s="93">
        <v>-7.2</v>
      </c>
      <c r="H70" s="53">
        <v>-4.5</v>
      </c>
      <c r="I70" s="53">
        <v>-4.5999999999999996</v>
      </c>
      <c r="J70" s="53">
        <v>-4.3</v>
      </c>
      <c r="K70" s="53">
        <v>-5.2</v>
      </c>
      <c r="L70" s="64">
        <v>-1.8</v>
      </c>
      <c r="M70" s="53"/>
      <c r="N70" s="64">
        <v>-6.7</v>
      </c>
      <c r="O70" s="1"/>
      <c r="P70" s="1"/>
      <c r="Q70" s="1"/>
    </row>
    <row r="71" spans="1:18" x14ac:dyDescent="0.25">
      <c r="A71" s="55" t="s">
        <v>41</v>
      </c>
      <c r="B71" s="54">
        <v>129.5</v>
      </c>
      <c r="C71" s="54">
        <v>131.06</v>
      </c>
      <c r="D71" s="76">
        <v>129.79</v>
      </c>
      <c r="E71" s="54">
        <v>129.88</v>
      </c>
      <c r="F71" s="54">
        <v>126.09</v>
      </c>
      <c r="G71" s="92">
        <v>137.81</v>
      </c>
      <c r="H71" s="54">
        <v>141.35</v>
      </c>
      <c r="I71" s="54">
        <v>128.30000000000001</v>
      </c>
      <c r="J71" s="54">
        <v>131.68</v>
      </c>
      <c r="K71" s="54">
        <v>129.03</v>
      </c>
      <c r="L71" s="62">
        <v>132.01</v>
      </c>
      <c r="M71" s="54"/>
      <c r="N71" s="62">
        <v>132.09</v>
      </c>
      <c r="O71" s="1"/>
      <c r="P71" s="1"/>
      <c r="Q71" s="1"/>
    </row>
    <row r="72" spans="1:18" x14ac:dyDescent="0.25">
      <c r="A72" s="55" t="s">
        <v>38</v>
      </c>
      <c r="B72" s="58">
        <v>-0.08</v>
      </c>
      <c r="C72" s="58">
        <v>-7.4999999999999997E-2</v>
      </c>
      <c r="D72" s="58">
        <v>-8.5000000000000006E-2</v>
      </c>
      <c r="E72" s="58">
        <v>-7.6999999999999999E-2</v>
      </c>
      <c r="F72" s="58">
        <v>-0.105</v>
      </c>
      <c r="G72" s="58">
        <v>-5.3999999999999999E-2</v>
      </c>
      <c r="H72" s="58">
        <v>-5.1999999999999998E-2</v>
      </c>
      <c r="I72" s="58">
        <v>-6.0999999999999999E-2</v>
      </c>
      <c r="J72" s="58">
        <v>-6.3E-2</v>
      </c>
      <c r="K72" s="58">
        <v>-7.0999999999999994E-2</v>
      </c>
      <c r="L72" s="63">
        <v>-4.8000000000000001E-2</v>
      </c>
      <c r="M72" s="58"/>
      <c r="N72" s="63">
        <v>-6.7000000000000004E-2</v>
      </c>
      <c r="O72" s="1"/>
      <c r="P72" s="1"/>
      <c r="Q72" s="1"/>
    </row>
    <row r="73" spans="1:18" x14ac:dyDescent="0.25">
      <c r="A73" s="55" t="s">
        <v>42</v>
      </c>
      <c r="B73" s="54">
        <v>54.94</v>
      </c>
      <c r="C73" s="54">
        <v>63.24</v>
      </c>
      <c r="D73" s="54">
        <v>64.819999999999993</v>
      </c>
      <c r="E73" s="54">
        <v>65.349999999999994</v>
      </c>
      <c r="F73" s="54">
        <v>72.64</v>
      </c>
      <c r="G73" s="54">
        <v>79.94</v>
      </c>
      <c r="H73" s="54">
        <v>87.26</v>
      </c>
      <c r="I73" s="54">
        <v>76.97</v>
      </c>
      <c r="J73" s="54">
        <v>76.7</v>
      </c>
      <c r="K73" s="54">
        <v>67.86</v>
      </c>
      <c r="L73" s="62">
        <v>67.599999999999994</v>
      </c>
      <c r="M73" s="54"/>
      <c r="N73" s="62">
        <v>70.78</v>
      </c>
      <c r="O73" s="1"/>
      <c r="P73" s="1"/>
      <c r="Q73" s="1"/>
    </row>
    <row r="74" spans="1:18" x14ac:dyDescent="0.25">
      <c r="A74" s="121" t="s">
        <v>79</v>
      </c>
      <c r="B74" s="26"/>
      <c r="C74" s="26"/>
      <c r="D74" s="26"/>
      <c r="E74" s="26"/>
      <c r="F74" s="34"/>
      <c r="G74" s="26"/>
      <c r="H74" s="26"/>
      <c r="I74" s="26"/>
      <c r="J74" s="26"/>
      <c r="K74" s="26"/>
      <c r="L74" s="26"/>
      <c r="M74" s="26"/>
      <c r="N74" s="27" t="s">
        <v>45</v>
      </c>
    </row>
    <row r="75" spans="1:18" x14ac:dyDescent="0.25">
      <c r="A75" s="24" t="s">
        <v>46</v>
      </c>
      <c r="B75" s="44">
        <v>681.11</v>
      </c>
      <c r="C75" s="44">
        <v>679.86</v>
      </c>
      <c r="D75" s="44">
        <v>730</v>
      </c>
      <c r="E75" s="44">
        <v>742.74</v>
      </c>
      <c r="F75" s="44">
        <v>774.33</v>
      </c>
      <c r="G75" s="44">
        <v>753.86</v>
      </c>
      <c r="H75" s="44">
        <v>774.81</v>
      </c>
      <c r="I75" s="16">
        <v>778.74</v>
      </c>
      <c r="J75" s="16">
        <v>753.23</v>
      </c>
      <c r="K75" s="16">
        <v>764.91</v>
      </c>
      <c r="L75" s="16"/>
      <c r="M75" s="16"/>
      <c r="N75" s="16">
        <f>AVERAGE(B75:M75)</f>
        <v>743.35899999999981</v>
      </c>
    </row>
    <row r="76" spans="1:18" x14ac:dyDescent="0.25">
      <c r="A76" s="24" t="s">
        <v>18</v>
      </c>
      <c r="B76" s="41">
        <v>-1.9E-2</v>
      </c>
      <c r="C76" s="41">
        <v>2.5000000000000001E-2</v>
      </c>
      <c r="D76" s="41">
        <v>-1.4999999999999999E-2</v>
      </c>
      <c r="E76" s="41">
        <v>1.7000000000000001E-2</v>
      </c>
      <c r="F76" s="41">
        <f>F75/771.33-1</f>
        <v>3.8893858659718727E-3</v>
      </c>
      <c r="G76" s="41">
        <f>G75/756.19-1</f>
        <v>-3.0812361972520907E-3</v>
      </c>
      <c r="H76" s="41">
        <v>-1.2999999999999999E-2</v>
      </c>
      <c r="I76" s="17">
        <v>5.0000000000000001E-3</v>
      </c>
      <c r="J76" s="17">
        <v>1.4999999999999999E-2</v>
      </c>
      <c r="K76" s="17">
        <v>7.0000000000000001E-3</v>
      </c>
      <c r="L76" s="17"/>
      <c r="M76" s="17"/>
      <c r="N76" s="17">
        <v>2E-3</v>
      </c>
      <c r="P76" s="72"/>
      <c r="Q76" s="72"/>
      <c r="R76" s="72"/>
    </row>
    <row r="77" spans="1:18" x14ac:dyDescent="0.25">
      <c r="A77" s="122" t="s">
        <v>80</v>
      </c>
      <c r="B77" s="26"/>
      <c r="C77" s="26"/>
      <c r="D77" s="26"/>
      <c r="E77" s="26"/>
      <c r="F77" s="26"/>
      <c r="G77" s="26"/>
      <c r="H77" s="26"/>
      <c r="I77" s="26"/>
      <c r="J77" s="26"/>
      <c r="K77" s="26"/>
      <c r="L77" s="26"/>
      <c r="M77" s="26"/>
      <c r="N77" s="28"/>
    </row>
    <row r="78" spans="1:18" x14ac:dyDescent="0.25">
      <c r="A78" s="24" t="s">
        <v>72</v>
      </c>
      <c r="B78" s="8">
        <v>10.6</v>
      </c>
      <c r="C78" s="8">
        <v>26.4</v>
      </c>
      <c r="D78" s="8">
        <v>36.299999999999997</v>
      </c>
      <c r="E78" s="8">
        <v>33.6</v>
      </c>
      <c r="F78" s="8">
        <v>66.8</v>
      </c>
      <c r="G78" s="11">
        <v>84.3</v>
      </c>
      <c r="H78" s="8">
        <v>190</v>
      </c>
      <c r="I78" s="11">
        <v>170.3</v>
      </c>
      <c r="J78" s="66">
        <v>63</v>
      </c>
      <c r="K78" s="32">
        <v>29.6</v>
      </c>
      <c r="L78" s="32">
        <v>21.7</v>
      </c>
      <c r="M78" s="32">
        <v>10.7</v>
      </c>
      <c r="N78" s="15">
        <f>SUM(B78:M78)</f>
        <v>743.30000000000007</v>
      </c>
    </row>
    <row r="79" spans="1:18" x14ac:dyDescent="0.25">
      <c r="A79" s="24" t="s">
        <v>18</v>
      </c>
      <c r="B79" s="3">
        <v>-6.2E-2</v>
      </c>
      <c r="C79" s="3">
        <v>0.14299999999999999</v>
      </c>
      <c r="D79" s="3">
        <v>0.04</v>
      </c>
      <c r="E79" s="3">
        <f>E78/34.8-1</f>
        <v>-3.4482758620689502E-2</v>
      </c>
      <c r="F79" s="3">
        <f>F78/62.6-1</f>
        <v>6.7092651757188371E-2</v>
      </c>
      <c r="G79" s="3">
        <f>G78/87-1</f>
        <v>-3.1034482758620752E-2</v>
      </c>
      <c r="H79" s="5">
        <f>H78/172.4-1</f>
        <v>0.10208816705336421</v>
      </c>
      <c r="I79" s="3">
        <f>I78/190.8-1</f>
        <v>-0.1074423480083857</v>
      </c>
      <c r="J79" s="5">
        <f>J78/63-1</f>
        <v>0</v>
      </c>
      <c r="K79" s="7">
        <f>K78/32.431-1</f>
        <v>-8.7293022108476337E-2</v>
      </c>
      <c r="L79" s="7">
        <f>L78/17.3-1</f>
        <v>0.25433526011560681</v>
      </c>
      <c r="M79" s="4">
        <f>M78/11.4-1</f>
        <v>-6.1403508771929904E-2</v>
      </c>
      <c r="N79" s="14">
        <f>N78/853.3-1</f>
        <v>-0.12891128559709353</v>
      </c>
    </row>
    <row r="80" spans="1:18" x14ac:dyDescent="0.25">
      <c r="A80" s="123" t="s">
        <v>81</v>
      </c>
      <c r="B80" s="34"/>
      <c r="C80" s="34"/>
      <c r="D80" s="34"/>
      <c r="E80" s="34"/>
      <c r="F80" s="34"/>
      <c r="G80" s="26"/>
      <c r="H80" s="26"/>
      <c r="I80" s="26"/>
      <c r="J80" s="26"/>
      <c r="K80" s="34"/>
      <c r="L80" s="26"/>
      <c r="M80" s="26"/>
      <c r="N80" s="28"/>
    </row>
    <row r="81" spans="1:14" x14ac:dyDescent="0.25">
      <c r="A81" s="24" t="s">
        <v>47</v>
      </c>
      <c r="B81" s="39">
        <v>0.70309999999999995</v>
      </c>
      <c r="C81" s="39">
        <v>0.72</v>
      </c>
      <c r="D81" s="39">
        <v>0.76</v>
      </c>
      <c r="E81" s="39">
        <v>0.78</v>
      </c>
      <c r="F81" s="39">
        <v>0.77</v>
      </c>
      <c r="G81" s="39">
        <v>0.78</v>
      </c>
      <c r="H81" s="39">
        <v>0.77</v>
      </c>
      <c r="I81" s="39">
        <v>0.77</v>
      </c>
      <c r="J81" s="39">
        <v>0.76</v>
      </c>
      <c r="K81" s="39">
        <v>0.75</v>
      </c>
      <c r="L81" s="36">
        <v>0.74</v>
      </c>
      <c r="M81" s="36">
        <v>0.75</v>
      </c>
      <c r="N81" s="36">
        <f>AVERAGE(B81:M81)</f>
        <v>0.7544249999999999</v>
      </c>
    </row>
    <row r="82" spans="1:14" x14ac:dyDescent="0.25">
      <c r="A82" s="24" t="s">
        <v>48</v>
      </c>
      <c r="B82" s="38">
        <v>0.65</v>
      </c>
      <c r="C82" s="39">
        <v>0.65</v>
      </c>
      <c r="D82" s="39">
        <v>0.68</v>
      </c>
      <c r="E82" s="39">
        <v>0.69</v>
      </c>
      <c r="F82" s="39">
        <v>0.68</v>
      </c>
      <c r="G82" s="39">
        <v>0.69</v>
      </c>
      <c r="H82" s="39">
        <v>0.69</v>
      </c>
      <c r="I82" s="39">
        <v>0.69</v>
      </c>
      <c r="J82" s="39">
        <v>0.68</v>
      </c>
      <c r="K82" s="39">
        <v>0.69</v>
      </c>
      <c r="L82" s="36">
        <v>0.69</v>
      </c>
      <c r="M82" s="36">
        <v>0.71</v>
      </c>
      <c r="N82" s="36">
        <f>AVERAGE(B82:M82)</f>
        <v>0.68249999999999977</v>
      </c>
    </row>
    <row r="83" spans="1:14" x14ac:dyDescent="0.25">
      <c r="A83" s="24" t="s">
        <v>49</v>
      </c>
      <c r="B83" s="38">
        <v>0.49</v>
      </c>
      <c r="C83" s="39">
        <v>0.51</v>
      </c>
      <c r="D83" s="39">
        <v>0.53</v>
      </c>
      <c r="E83" s="39">
        <v>0.54</v>
      </c>
      <c r="F83" s="39">
        <v>0.53</v>
      </c>
      <c r="G83" s="39">
        <v>0.55000000000000004</v>
      </c>
      <c r="H83" s="39">
        <v>0.57999999999999996</v>
      </c>
      <c r="I83" s="39">
        <v>0.59</v>
      </c>
      <c r="J83" s="39">
        <v>0.57999999999999996</v>
      </c>
      <c r="K83" s="39">
        <v>0.61</v>
      </c>
      <c r="L83" s="36">
        <v>0.6</v>
      </c>
      <c r="M83" s="36">
        <v>0.6</v>
      </c>
      <c r="N83" s="36">
        <f>AVERAGE(B83:M83)</f>
        <v>0.5591666666666667</v>
      </c>
    </row>
    <row r="84" spans="1:14" x14ac:dyDescent="0.25">
      <c r="A84" s="125" t="s">
        <v>83</v>
      </c>
      <c r="B84" s="26"/>
      <c r="C84" s="26"/>
      <c r="D84" s="26"/>
      <c r="E84" s="26"/>
      <c r="F84" s="26"/>
      <c r="G84" s="26"/>
      <c r="H84" s="26"/>
      <c r="I84" s="26"/>
      <c r="J84" s="26"/>
      <c r="K84" s="26"/>
      <c r="L84" s="26"/>
      <c r="M84" s="26"/>
      <c r="N84" s="35"/>
    </row>
    <row r="85" spans="1:14" x14ac:dyDescent="0.25">
      <c r="A85" s="24" t="s">
        <v>50</v>
      </c>
      <c r="B85" s="38">
        <v>31.68</v>
      </c>
      <c r="C85" s="38">
        <v>30.32</v>
      </c>
      <c r="D85" s="38">
        <v>37.549999999999997</v>
      </c>
      <c r="E85" s="38">
        <v>40.75</v>
      </c>
      <c r="F85" s="38">
        <v>46.71</v>
      </c>
      <c r="G85" s="38">
        <v>48.76</v>
      </c>
      <c r="H85" s="38">
        <v>44.65</v>
      </c>
      <c r="I85" s="38">
        <v>44.72</v>
      </c>
      <c r="J85" s="38">
        <v>45.18</v>
      </c>
      <c r="K85" s="38">
        <v>49.78</v>
      </c>
      <c r="L85" s="38">
        <v>45.71</v>
      </c>
      <c r="M85" s="37">
        <v>51.97</v>
      </c>
      <c r="N85" s="36">
        <f>AVERAGE(B85:M85)</f>
        <v>43.148333333333333</v>
      </c>
    </row>
    <row r="86" spans="1:14" x14ac:dyDescent="0.25">
      <c r="A86" s="124" t="s">
        <v>82</v>
      </c>
      <c r="B86" s="26"/>
      <c r="C86" s="26"/>
      <c r="D86" s="26"/>
      <c r="E86" s="26"/>
      <c r="F86" s="26"/>
      <c r="G86" s="26"/>
      <c r="H86" s="26"/>
      <c r="I86" s="26"/>
      <c r="J86" s="26"/>
      <c r="K86" s="26"/>
      <c r="L86" s="26"/>
      <c r="M86" s="26"/>
      <c r="N86" s="35"/>
    </row>
    <row r="87" spans="1:14" x14ac:dyDescent="0.25">
      <c r="A87" s="24" t="s">
        <v>51</v>
      </c>
      <c r="B87" s="83">
        <v>899</v>
      </c>
      <c r="C87" s="70">
        <v>1101.7</v>
      </c>
      <c r="D87" s="70">
        <v>1177</v>
      </c>
      <c r="E87" s="70">
        <v>799</v>
      </c>
      <c r="F87" s="70">
        <v>773</v>
      </c>
      <c r="G87" s="95">
        <v>772.8</v>
      </c>
      <c r="H87" s="95">
        <v>773</v>
      </c>
      <c r="I87" s="95">
        <v>764</v>
      </c>
      <c r="J87" s="95">
        <v>758</v>
      </c>
      <c r="K87" s="46">
        <v>666</v>
      </c>
      <c r="L87" s="49">
        <v>666</v>
      </c>
      <c r="M87" s="46"/>
      <c r="N87" s="49">
        <v>666</v>
      </c>
    </row>
    <row r="88" spans="1:14" x14ac:dyDescent="0.25">
      <c r="A88" s="153" t="s">
        <v>91</v>
      </c>
      <c r="B88" s="153"/>
      <c r="C88" s="153"/>
      <c r="D88" s="153"/>
      <c r="E88" s="153"/>
      <c r="F88" s="153"/>
      <c r="G88" s="153"/>
      <c r="H88" s="153"/>
      <c r="I88" s="153"/>
      <c r="J88" s="153"/>
      <c r="K88" s="153"/>
      <c r="L88" s="153"/>
      <c r="M88" s="153"/>
      <c r="N88" s="153"/>
    </row>
    <row r="89" spans="1:14" x14ac:dyDescent="0.25">
      <c r="A89" s="30" t="s">
        <v>76</v>
      </c>
      <c r="B89" s="1"/>
      <c r="C89" s="1"/>
      <c r="D89" s="1"/>
      <c r="E89" s="72"/>
      <c r="F89" s="72"/>
      <c r="G89" s="72"/>
      <c r="H89" s="105"/>
      <c r="I89" s="106"/>
      <c r="J89" s="106"/>
      <c r="K89" s="1"/>
      <c r="L89" s="1"/>
      <c r="M89" s="1"/>
      <c r="N89" s="1"/>
    </row>
    <row r="90" spans="1:14" x14ac:dyDescent="0.25">
      <c r="A90" s="30" t="s">
        <v>71</v>
      </c>
      <c r="B90" s="1"/>
      <c r="C90" s="1"/>
      <c r="D90" s="1"/>
      <c r="E90" s="1"/>
      <c r="F90" s="1"/>
      <c r="G90" s="1"/>
      <c r="H90" s="72"/>
      <c r="I90" s="72"/>
      <c r="J90" s="72"/>
      <c r="K90" s="72"/>
      <c r="L90" s="1"/>
      <c r="M90" s="1"/>
      <c r="N90" s="1"/>
    </row>
    <row r="91" spans="1:14" x14ac:dyDescent="0.25">
      <c r="A91" s="30" t="s">
        <v>73</v>
      </c>
    </row>
  </sheetData>
  <mergeCells count="7">
    <mergeCell ref="A88:N88"/>
    <mergeCell ref="A48:N48"/>
    <mergeCell ref="A1:N1"/>
    <mergeCell ref="A2:N2"/>
    <mergeCell ref="A4:N4"/>
    <mergeCell ref="A23:N23"/>
    <mergeCell ref="A43:N4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Data</vt:lpstr>
    </vt:vector>
  </TitlesOfParts>
  <Company>GOA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emily.wang</dc:creator>
  <cp:lastModifiedBy>EMILY.WANG</cp:lastModifiedBy>
  <cp:lastPrinted>2018-03-27T14:53:48Z</cp:lastPrinted>
  <dcterms:created xsi:type="dcterms:W3CDTF">2016-05-19T14:47:50Z</dcterms:created>
  <dcterms:modified xsi:type="dcterms:W3CDTF">2018-03-27T16:14:27Z</dcterms:modified>
</cp:coreProperties>
</file>