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P-Energy Info and Analysis\EIA-Shared\BE\Secure\BVM Calculations\2021\202101\"/>
    </mc:Choice>
  </mc:AlternateContent>
  <bookViews>
    <workbookView xWindow="26010" yWindow="495" windowWidth="18390" windowHeight="8385" activeTab="1"/>
  </bookViews>
  <sheets>
    <sheet name="Instructions" sheetId="24" r:id="rId1"/>
    <sheet name="Inputs &amp; Results" sheetId="1" r:id="rId2"/>
    <sheet name="Calculation" sheetId="22" r:id="rId3"/>
    <sheet name="Data Tables" sheetId="2" r:id="rId4"/>
    <sheet name="Definitions" sheetId="23" r:id="rId5"/>
    <sheet name="Log of Changes" sheetId="25" r:id="rId6"/>
  </sheets>
  <definedNames>
    <definedName name="Apr_Bitumen_Den">'Inputs &amp; Results'!$C$17</definedName>
    <definedName name="Apr_Bitumen_Value">Calculation!$H$33</definedName>
    <definedName name="Apr_BVM_Dilbit_Den">Calculation!$D$15</definedName>
    <definedName name="Apr_Cdn_Bitumen_Value">Calculation!$G$33</definedName>
    <definedName name="Apr_Cdn_Dilbit_Value">Calculation!$E$33</definedName>
    <definedName name="Apr_CRW_Den">'Inputs &amp; Results'!$J$17</definedName>
    <definedName name="Apr_CRW_Price">'Inputs &amp; Results'!$I$17</definedName>
    <definedName name="Apr_CRW_Vol">Calculation!$F$15</definedName>
    <definedName name="Apr_Dilbit_Value">Calculation!$D$33</definedName>
    <definedName name="Apr_Dilbit_Vol">Calculation!$G$15</definedName>
    <definedName name="Apr_FX">Calculation!$H$15</definedName>
    <definedName name="Apr_Synbit_Prem.">'Inputs &amp; Results'!$G$17</definedName>
    <definedName name="Apr_WCS_Den">'Inputs &amp; Results'!$H$17</definedName>
    <definedName name="Apr_WCS_Dilbit_Ratio">'Inputs &amp; Results'!$F$17</definedName>
    <definedName name="Apr_WCS_Price">'Inputs &amp; Results'!$E$17</definedName>
    <definedName name="Aug_Bitumen_Den">'Inputs &amp; Results'!$C$21</definedName>
    <definedName name="Aug_Bitumen_Value">Calculation!$H$37</definedName>
    <definedName name="Aug_BVM_Dilbit_Den">Calculation!$D$19</definedName>
    <definedName name="Aug_Cdn_Bitumen_Value">Calculation!$G$37</definedName>
    <definedName name="Aug_Cdn_Dilbit_Value">Calculation!$E$37</definedName>
    <definedName name="Aug_CRW_Den">'Inputs &amp; Results'!$J$21</definedName>
    <definedName name="Aug_CRW_Price">'Inputs &amp; Results'!$I$21</definedName>
    <definedName name="Aug_CRW_Vol">Calculation!$F$19</definedName>
    <definedName name="Aug_Dilbit_Value">Calculation!$D$37</definedName>
    <definedName name="Aug_Dilbit_Vol">Calculation!$G$19</definedName>
    <definedName name="Aug_FX">Calculation!$H$19</definedName>
    <definedName name="Aug_Synbit_Prem.">'Inputs &amp; Results'!$G$21</definedName>
    <definedName name="Aug_WCS_Den">'Inputs &amp; Results'!$H$21</definedName>
    <definedName name="Aug_WCS_Dilbit_Ratio">'Inputs &amp; Results'!$F$21</definedName>
    <definedName name="Aug_WCS_Price">'Inputs &amp; Results'!$E$21</definedName>
    <definedName name="Dec_Bitumen_Den">'Inputs &amp; Results'!$C$25</definedName>
    <definedName name="Dec_Bitumen_Value">Calculation!$H$41</definedName>
    <definedName name="Dec_BVM_Dilbit_Den">Calculation!$D$23</definedName>
    <definedName name="Dec_Cdn_Bitumen_Value">Calculation!$G$41</definedName>
    <definedName name="Dec_Cdn_Dilbit_Value">Calculation!$E$41</definedName>
    <definedName name="Dec_CRW_Den">'Inputs &amp; Results'!$J$25</definedName>
    <definedName name="Dec_CRW_Price">'Inputs &amp; Results'!$I$25</definedName>
    <definedName name="Dec_CRW_Vol">Calculation!$F$23</definedName>
    <definedName name="Dec_Dilbit_Value">Calculation!$D$41</definedName>
    <definedName name="Dec_Dilbit_Vol">Calculation!$G$23</definedName>
    <definedName name="Dec_FX">Calculation!$H$23</definedName>
    <definedName name="Dec_Synbit_Prem.">'Inputs &amp; Results'!$G$25</definedName>
    <definedName name="Dec_WCS_Den">'Inputs &amp; Results'!$H$25</definedName>
    <definedName name="Dec_WCS_Dilbit_Ratio">'Inputs &amp; Results'!$F$25</definedName>
    <definedName name="Dec_WCS_Price">'Inputs &amp; Results'!$E$25</definedName>
    <definedName name="Feb_Bitumen_Den">'Inputs &amp; Results'!$C$15</definedName>
    <definedName name="Feb_Bitumen_Value">Calculation!$H$31</definedName>
    <definedName name="Feb_BVM_Dilbit_Den">Calculation!$D$13</definedName>
    <definedName name="Feb_Cdn_Bitumen_Value">Calculation!$G$31</definedName>
    <definedName name="Feb_Cdn_Dilbit_Value">Calculation!$E$31</definedName>
    <definedName name="Feb_CRW_Den">'Inputs &amp; Results'!$J$15</definedName>
    <definedName name="Feb_CRW_Price">'Inputs &amp; Results'!$I$15</definedName>
    <definedName name="Feb_CRW_Vol">Calculation!$F$13</definedName>
    <definedName name="Feb_Dilbit_Value">Calculation!$D$31</definedName>
    <definedName name="Feb_Dilbit_Vol">Calculation!$G$13</definedName>
    <definedName name="Feb_FX">Calculation!$H$13</definedName>
    <definedName name="Feb_Synbit_Prem.">'Inputs &amp; Results'!$G$15</definedName>
    <definedName name="Feb_WCS_Den">'Inputs &amp; Results'!$H$15</definedName>
    <definedName name="Feb_WCS_Dilbit_Ratio">'Inputs &amp; Results'!$F$15</definedName>
    <definedName name="Feb_WCS_Price">'Inputs &amp; Results'!$E$15</definedName>
    <definedName name="Hvy_m3_to_bbl">Calculation!$C$3</definedName>
    <definedName name="Jan_Bitumen_Den">'Inputs &amp; Results'!$C$14</definedName>
    <definedName name="Jan_Bitumen_Value">Calculation!$H$30</definedName>
    <definedName name="Jan_BVM_Dilbit_Den">Calculation!$D$12</definedName>
    <definedName name="Jan_Cdn_Bitumen_Value">Calculation!$G$30</definedName>
    <definedName name="Jan_Cdn_Dilbit_Value">Calculation!$E$30</definedName>
    <definedName name="Jan_CRW_Den">'Inputs &amp; Results'!$J$14</definedName>
    <definedName name="Jan_CRW_Price">'Inputs &amp; Results'!$I$14</definedName>
    <definedName name="Jan_CRW_Vol">Calculation!$F$12</definedName>
    <definedName name="Jan_Dilbit_Value">Calculation!$D$30</definedName>
    <definedName name="Jan_Dilbit_Vol">Calculation!$G$12</definedName>
    <definedName name="Jan_FX">Calculation!$H$12</definedName>
    <definedName name="Jan_Synbit_Prem.">'Inputs &amp; Results'!$G$14</definedName>
    <definedName name="Jan_WCS_Den">'Inputs &amp; Results'!$H$14</definedName>
    <definedName name="Jan_WCS_Dilbit_Ratio">'Inputs &amp; Results'!$F$14</definedName>
    <definedName name="Jan_WCS_Price">'Inputs &amp; Results'!$E$14</definedName>
    <definedName name="Jul_Bitumen_Den">'Inputs &amp; Results'!$C$20</definedName>
    <definedName name="Jul_Bitumen_Value">Calculation!$H$36</definedName>
    <definedName name="Jul_BVM_Dilbit_Den">Calculation!$D$18</definedName>
    <definedName name="Jul_Cdn_Bitumen_Value">Calculation!$G$36</definedName>
    <definedName name="Jul_Cdn_Dilbit_Value">Calculation!$E$36</definedName>
    <definedName name="Jul_CRW_Den">'Inputs &amp; Results'!$J$20</definedName>
    <definedName name="Jul_CRW_Price">'Inputs &amp; Results'!$I$20</definedName>
    <definedName name="Jul_CRW_Vol">Calculation!$F$18</definedName>
    <definedName name="Jul_Dilbit_Value">Calculation!$D$36</definedName>
    <definedName name="Jul_Dilbit_Vol">Calculation!$G$18</definedName>
    <definedName name="Jul_FX">Calculation!$H$18</definedName>
    <definedName name="Jul_Synbit_Prem.">'Inputs &amp; Results'!$G$20</definedName>
    <definedName name="Jul_WCS_Den">'Inputs &amp; Results'!$H$20</definedName>
    <definedName name="Jul_WCS_Dilbit_Ratio">'Inputs &amp; Results'!$F$20</definedName>
    <definedName name="Jul_WCS_Price">'Inputs &amp; Results'!$E$20</definedName>
    <definedName name="Jun_Bitumen_Den">'Inputs &amp; Results'!$C$19</definedName>
    <definedName name="Jun_Bitumen_Value">Calculation!$H$35</definedName>
    <definedName name="Jun_BVM_Dilbit_Den">Calculation!$D$17</definedName>
    <definedName name="Jun_Cdn_Bitumen_Value">Calculation!$G$35</definedName>
    <definedName name="Jun_Cdn_Dilbit_Value">Calculation!$E$35</definedName>
    <definedName name="Jun_CRW_Den">'Inputs &amp; Results'!$J$19</definedName>
    <definedName name="Jun_CRW_Price">'Inputs &amp; Results'!$I$19</definedName>
    <definedName name="Jun_CRW_Vol">Calculation!$F$17</definedName>
    <definedName name="Jun_Dilbit_Value">Calculation!$D$35</definedName>
    <definedName name="Jun_Dilbit_Vol">Calculation!$G$17</definedName>
    <definedName name="Jun_FX">Calculation!$H$17</definedName>
    <definedName name="Jun_Synbit_Prem.">'Inputs &amp; Results'!$G$19</definedName>
    <definedName name="Jun_WCS_Den">'Inputs &amp; Results'!$H$19</definedName>
    <definedName name="Jun_WCS_Dilbit_Ratio">'Inputs &amp; Results'!$F$19</definedName>
    <definedName name="Jun_WCS_Price">'Inputs &amp; Results'!$E$19</definedName>
    <definedName name="Mar_Bitumen_Den">'Inputs &amp; Results'!$C$16</definedName>
    <definedName name="Mar_Bitumen_Value">Calculation!$H$32</definedName>
    <definedName name="Mar_BVM_Dilbit_Den">Calculation!$D$14</definedName>
    <definedName name="Mar_Cdn_Bitumen_Value">Calculation!$G$32</definedName>
    <definedName name="Mar_Cdn_Dilbit_Value">Calculation!$E$32</definedName>
    <definedName name="Mar_CRW_Den">'Inputs &amp; Results'!$J$16</definedName>
    <definedName name="Mar_CRW_Price">'Inputs &amp; Results'!$I$16</definedName>
    <definedName name="Mar_CRW_Vol">Calculation!$F$14</definedName>
    <definedName name="Mar_Dilbit_Value">Calculation!$D$32</definedName>
    <definedName name="Mar_Dilbit_Vol">Calculation!$G$14</definedName>
    <definedName name="Mar_FX">Calculation!$H$14</definedName>
    <definedName name="Mar_Synbit_Prem.">'Inputs &amp; Results'!$G$16</definedName>
    <definedName name="Mar_WCS_Den">'Inputs &amp; Results'!$H$16</definedName>
    <definedName name="Mar_WCS_Dilbit_Ratio">'Inputs &amp; Results'!$F$16</definedName>
    <definedName name="Mar_WCS_Price">'Inputs &amp; Results'!$E$16</definedName>
    <definedName name="May_Bitumen_Den">'Inputs &amp; Results'!$C$18</definedName>
    <definedName name="May_Bitumen_Value">Calculation!$H$34</definedName>
    <definedName name="May_BVM_Dilbit_Den">Calculation!$D$16</definedName>
    <definedName name="May_Cdn_Bitumen_Value">Calculation!$G$34</definedName>
    <definedName name="May_Cdn_Dilbit_Value">Calculation!$E$34</definedName>
    <definedName name="May_CRW_Den">'Inputs &amp; Results'!$J$18</definedName>
    <definedName name="May_CRW_Price">'Inputs &amp; Results'!$I$18</definedName>
    <definedName name="May_CRW_Vol">Calculation!$F$16</definedName>
    <definedName name="May_Dilbit_Value">Calculation!$D$34</definedName>
    <definedName name="May_Dilbit_Vol">Calculation!$G$16</definedName>
    <definedName name="May_FX">Calculation!$H$16</definedName>
    <definedName name="May_Synbit_Prem.">'Inputs &amp; Results'!$G$18</definedName>
    <definedName name="May_WCS_Den">'Inputs &amp; Results'!$H$18</definedName>
    <definedName name="May_WCS_Dilbit_Ratio">'Inputs &amp; Results'!$F$18</definedName>
    <definedName name="May_WCS_Price">'Inputs &amp; Results'!$E$18</definedName>
    <definedName name="Nov_Bitumen_Den">'Inputs &amp; Results'!$C$24</definedName>
    <definedName name="Nov_Bitumen_Value">Calculation!$H$40</definedName>
    <definedName name="Nov_BVM_Dilbit_Den">Calculation!$D$22</definedName>
    <definedName name="Nov_Cdn_Bitumen_Value">Calculation!$G$40</definedName>
    <definedName name="Nov_Cdn_Dilbit_Value">Calculation!$E$40</definedName>
    <definedName name="Nov_CRW_Den">'Inputs &amp; Results'!$J$24</definedName>
    <definedName name="Nov_CRW_Price">'Inputs &amp; Results'!$I$24</definedName>
    <definedName name="Nov_CRW_Vol">Calculation!$F$22</definedName>
    <definedName name="Nov_Dilbit_Value">Calculation!$D$40</definedName>
    <definedName name="Nov_Dilbit_Vol">Calculation!$G$22</definedName>
    <definedName name="Nov_FX">Calculation!$H$22</definedName>
    <definedName name="Nov_Synbit_Prem.">'Inputs &amp; Results'!$G$24</definedName>
    <definedName name="Nov_WCS_Den">'Inputs &amp; Results'!$H$24</definedName>
    <definedName name="Nov_WCS_Dilbit_Ratio">'Inputs &amp; Results'!$F$24</definedName>
    <definedName name="Nov_WCS_Price">'Inputs &amp; Results'!$E$24</definedName>
    <definedName name="Oct_Bitumen_Den">'Inputs &amp; Results'!$C$23</definedName>
    <definedName name="Oct_Bitumen_Value">Calculation!$H$39</definedName>
    <definedName name="Oct_BVM_Dilbit_Den">Calculation!$D$21</definedName>
    <definedName name="Oct_Cdn_Bitumen_Value">Calculation!$G$39</definedName>
    <definedName name="Oct_Cdn_Dilbit_Value">Calculation!$E$39</definedName>
    <definedName name="Oct_CRW_Den">'Inputs &amp; Results'!$J$23</definedName>
    <definedName name="Oct_CRW_Price">'Inputs &amp; Results'!$I$23</definedName>
    <definedName name="Oct_CRW_Vol">Calculation!$F$21</definedName>
    <definedName name="Oct_Dilbit_Value">Calculation!$D$39</definedName>
    <definedName name="Oct_Dilbit_Vol">Calculation!$G$21</definedName>
    <definedName name="Oct_FX">Calculation!$H$21</definedName>
    <definedName name="Oct_Synbit_Prem.">'Inputs &amp; Results'!$G$23</definedName>
    <definedName name="Oct_WCS_Den">'Inputs &amp; Results'!$H$23</definedName>
    <definedName name="Oct_WCS_Dilbit_Ratio">'Inputs &amp; Results'!$F$23</definedName>
    <definedName name="Oct_WCS_Price">'Inputs &amp; Results'!$E$23</definedName>
    <definedName name="_xlnm.Print_Area" localSheetId="1">'Inputs &amp; Results'!$A$1:$N$58</definedName>
    <definedName name="_xlnm.Print_Titles" localSheetId="1">'Inputs &amp; Results'!$7:$8</definedName>
    <definedName name="Quality_Adjustment">'Inputs &amp; Results'!$G$6</definedName>
    <definedName name="Sep_Bitumen_Den">'Inputs &amp; Results'!$C$22</definedName>
    <definedName name="Sep_Bitumen_Value">Calculation!$H$38</definedName>
    <definedName name="Sep_BVM_Dilbit_Den">Calculation!$D$20</definedName>
    <definedName name="Sep_Cdn_Bitumen_Value">Calculation!$G$38</definedName>
    <definedName name="Sep_Cdn_Dilbit_Value">Calculation!$E$38</definedName>
    <definedName name="Sep_CRW_Den">'Inputs &amp; Results'!$J$22</definedName>
    <definedName name="Sep_CRW_Price">'Inputs &amp; Results'!$I$22</definedName>
    <definedName name="Sep_CRW_Vol">Calculation!$F$20</definedName>
    <definedName name="Sep_Dilbit_Value">Calculation!$D$38</definedName>
    <definedName name="Sep_Dilbit_Vol">Calculation!$G$20</definedName>
    <definedName name="Sep_FX">Calculation!$H$20</definedName>
    <definedName name="Sep_Synbit_Prem.">'Inputs &amp; Results'!$G$22</definedName>
    <definedName name="Sep_WCS_Den">'Inputs &amp; Results'!$H$22</definedName>
    <definedName name="Sep_WCS_Dilbit_Ratio">'Inputs &amp; Results'!$F$22</definedName>
    <definedName name="Sep_WCS_Price">'Inputs &amp; Results'!$E$22</definedName>
    <definedName name="Synbit.Dilbit_Density_Diff.">'Inputs &amp; Results'!$G$7</definedName>
    <definedName name="zzzPES_Framework_Version">"3.7.1030.5"</definedName>
  </definedNames>
  <calcPr calcId="162913" calcMode="autoNoTable"/>
</workbook>
</file>

<file path=xl/calcChain.xml><?xml version="1.0" encoding="utf-8"?>
<calcChain xmlns="http://schemas.openxmlformats.org/spreadsheetml/2006/main">
  <c r="F22" i="22" l="1"/>
  <c r="F48" i="1" l="1"/>
  <c r="D11" i="2" l="1"/>
  <c r="D20" i="2"/>
  <c r="D19" i="2"/>
  <c r="D18" i="2"/>
  <c r="D17" i="2"/>
  <c r="D14" i="2"/>
  <c r="D13" i="2"/>
  <c r="D10" i="2"/>
  <c r="D9" i="2"/>
  <c r="H13" i="22"/>
  <c r="H14" i="22"/>
  <c r="H15" i="22"/>
  <c r="H16" i="22"/>
  <c r="H17" i="22"/>
  <c r="H18" i="22"/>
  <c r="H19" i="22"/>
  <c r="H20" i="22"/>
  <c r="H21" i="22"/>
  <c r="H22" i="22"/>
  <c r="H23" i="22"/>
  <c r="H12" i="22"/>
  <c r="C9" i="2"/>
  <c r="E9" i="2"/>
  <c r="C10" i="2"/>
  <c r="E10" i="2"/>
  <c r="C11" i="2"/>
  <c r="E11" i="2"/>
  <c r="C12" i="2"/>
  <c r="E12" i="2"/>
  <c r="C13" i="2"/>
  <c r="E13" i="2"/>
  <c r="C14" i="2"/>
  <c r="E14" i="2"/>
  <c r="C15" i="2"/>
  <c r="E15" i="2"/>
  <c r="C16" i="2"/>
  <c r="E16" i="2"/>
  <c r="C17" i="2"/>
  <c r="E17" i="2"/>
  <c r="C18" i="2"/>
  <c r="E18" i="2"/>
  <c r="C19" i="2"/>
  <c r="E19" i="2"/>
  <c r="C20" i="2"/>
  <c r="E20" i="2"/>
  <c r="C32" i="2"/>
  <c r="E43" i="2" s="1"/>
  <c r="C33" i="2"/>
  <c r="E42" i="2" s="1"/>
  <c r="F42" i="2" s="1"/>
  <c r="C34" i="2"/>
  <c r="E44" i="2" s="1"/>
  <c r="G44" i="2" s="1"/>
  <c r="I44" i="2" s="1"/>
  <c r="K44" i="2" s="1"/>
  <c r="M44" i="2" s="1"/>
  <c r="E46" i="2"/>
  <c r="L31" i="2" s="1"/>
  <c r="B12" i="22"/>
  <c r="C12" i="22"/>
  <c r="B13" i="22"/>
  <c r="C13" i="22"/>
  <c r="B14" i="22"/>
  <c r="C14" i="22"/>
  <c r="B15" i="22"/>
  <c r="D15" i="22" s="1"/>
  <c r="F12" i="2" s="1"/>
  <c r="C15" i="22"/>
  <c r="B16" i="22"/>
  <c r="C16" i="22"/>
  <c r="B17" i="22"/>
  <c r="D17" i="22" s="1"/>
  <c r="F14" i="2" s="1"/>
  <c r="C17" i="22"/>
  <c r="B18" i="22"/>
  <c r="C18" i="22"/>
  <c r="B19" i="22"/>
  <c r="C19" i="22"/>
  <c r="B20" i="22"/>
  <c r="D20" i="22" s="1"/>
  <c r="C20" i="22"/>
  <c r="B21" i="22"/>
  <c r="C21" i="22"/>
  <c r="B22" i="22"/>
  <c r="C22" i="22"/>
  <c r="B23" i="22"/>
  <c r="C23" i="22"/>
  <c r="B30" i="22"/>
  <c r="C30" i="22"/>
  <c r="F30" i="22"/>
  <c r="B31" i="22"/>
  <c r="C31" i="22"/>
  <c r="F31" i="22"/>
  <c r="B32" i="22"/>
  <c r="C32" i="22"/>
  <c r="F32" i="22"/>
  <c r="B33" i="22"/>
  <c r="C33" i="22"/>
  <c r="F33" i="22"/>
  <c r="B34" i="22"/>
  <c r="C34" i="22"/>
  <c r="F34" i="22"/>
  <c r="B35" i="22"/>
  <c r="C35" i="22"/>
  <c r="F35" i="22"/>
  <c r="B36" i="22"/>
  <c r="C36" i="22"/>
  <c r="F36" i="22"/>
  <c r="B37" i="22"/>
  <c r="C37" i="22"/>
  <c r="F37" i="22"/>
  <c r="B38" i="22"/>
  <c r="C38" i="22"/>
  <c r="F38" i="22"/>
  <c r="B39" i="22"/>
  <c r="C39" i="22"/>
  <c r="F39" i="22"/>
  <c r="B40" i="22"/>
  <c r="C40" i="22"/>
  <c r="F40" i="22"/>
  <c r="B41" i="22"/>
  <c r="C41" i="22"/>
  <c r="F41" i="22"/>
  <c r="D15" i="2"/>
  <c r="D16" i="2"/>
  <c r="D12" i="2"/>
  <c r="D22" i="22" l="1"/>
  <c r="D30" i="22"/>
  <c r="E30" i="22" s="1"/>
  <c r="D18" i="22"/>
  <c r="F18" i="22" s="1"/>
  <c r="D32" i="22"/>
  <c r="D38" i="22"/>
  <c r="E38" i="22" s="1"/>
  <c r="D19" i="22"/>
  <c r="G19" i="22" s="1"/>
  <c r="D12" i="22"/>
  <c r="F12" i="22" s="1"/>
  <c r="D16" i="22"/>
  <c r="F16" i="22" s="1"/>
  <c r="D34" i="22"/>
  <c r="E34" i="22" s="1"/>
  <c r="D33" i="22"/>
  <c r="E33" i="22" s="1"/>
  <c r="D31" i="22"/>
  <c r="E31" i="22" s="1"/>
  <c r="E32" i="22"/>
  <c r="F17" i="22"/>
  <c r="G15" i="22"/>
  <c r="F17" i="2"/>
  <c r="F20" i="22"/>
  <c r="G20" i="22"/>
  <c r="F19" i="2"/>
  <c r="D40" i="22"/>
  <c r="E40" i="22" s="1"/>
  <c r="D36" i="22"/>
  <c r="E36" i="22" s="1"/>
  <c r="D35" i="22"/>
  <c r="E35" i="22" s="1"/>
  <c r="D14" i="22"/>
  <c r="G14" i="22" s="1"/>
  <c r="G17" i="22"/>
  <c r="D37" i="22"/>
  <c r="E37" i="22" s="1"/>
  <c r="D23" i="22"/>
  <c r="G23" i="22" s="1"/>
  <c r="D13" i="22"/>
  <c r="F10" i="2" s="1"/>
  <c r="D41" i="22"/>
  <c r="E41" i="22" s="1"/>
  <c r="G12" i="22"/>
  <c r="G22" i="22"/>
  <c r="D21" i="22"/>
  <c r="F21" i="22" s="1"/>
  <c r="F15" i="22"/>
  <c r="D39" i="22"/>
  <c r="E39" i="22" s="1"/>
  <c r="E48" i="2"/>
  <c r="F43" i="2"/>
  <c r="E47" i="2"/>
  <c r="G42" i="2"/>
  <c r="G18" i="22" l="1"/>
  <c r="G36" i="22" s="1"/>
  <c r="K20" i="1" s="1"/>
  <c r="F15" i="2"/>
  <c r="F14" i="22"/>
  <c r="G32" i="22" s="1"/>
  <c r="K16" i="1" s="1"/>
  <c r="F9" i="2"/>
  <c r="F18" i="2"/>
  <c r="F20" i="2"/>
  <c r="F23" i="22"/>
  <c r="G41" i="22" s="1"/>
  <c r="G21" i="22"/>
  <c r="G39" i="22" s="1"/>
  <c r="G38" i="22"/>
  <c r="K22" i="1" s="1"/>
  <c r="F16" i="2"/>
  <c r="F19" i="22"/>
  <c r="G37" i="22" s="1"/>
  <c r="H37" i="22" s="1"/>
  <c r="L21" i="1" s="1"/>
  <c r="G35" i="22"/>
  <c r="K19" i="1" s="1"/>
  <c r="F13" i="2"/>
  <c r="G16" i="22"/>
  <c r="G34" i="22" s="1"/>
  <c r="K18" i="1" s="1"/>
  <c r="G33" i="22"/>
  <c r="H33" i="22" s="1"/>
  <c r="L17" i="1" s="1"/>
  <c r="G13" i="22"/>
  <c r="F11" i="2"/>
  <c r="F13" i="22"/>
  <c r="G40" i="22"/>
  <c r="K24" i="1" s="1"/>
  <c r="G30" i="22"/>
  <c r="K14" i="1" s="1"/>
  <c r="E49" i="2"/>
  <c r="E50" i="2" s="1"/>
  <c r="E53" i="2"/>
  <c r="E51" i="2"/>
  <c r="E52" i="2" s="1"/>
  <c r="I42" i="2"/>
  <c r="H42" i="2"/>
  <c r="H38" i="22" l="1"/>
  <c r="L22" i="1" s="1"/>
  <c r="H36" i="22"/>
  <c r="L20" i="1" s="1"/>
  <c r="H35" i="22"/>
  <c r="L19" i="1" s="1"/>
  <c r="K17" i="1"/>
  <c r="G31" i="22"/>
  <c r="H31" i="22" s="1"/>
  <c r="L15" i="1" s="1"/>
  <c r="H40" i="22"/>
  <c r="L24" i="1" s="1"/>
  <c r="K25" i="1"/>
  <c r="H41" i="22"/>
  <c r="L25" i="1" s="1"/>
  <c r="K21" i="1"/>
  <c r="H34" i="22"/>
  <c r="L18" i="1" s="1"/>
  <c r="H30" i="22"/>
  <c r="L14" i="1" s="1"/>
  <c r="H32" i="22"/>
  <c r="L16" i="1" s="1"/>
  <c r="K23" i="1"/>
  <c r="H39" i="22"/>
  <c r="L23" i="1" s="1"/>
  <c r="E54" i="2"/>
  <c r="E55" i="2" s="1"/>
  <c r="G46" i="2" s="1"/>
  <c r="K42" i="2"/>
  <c r="J42" i="2"/>
  <c r="K15" i="1" l="1"/>
  <c r="E56" i="2"/>
  <c r="G43" i="2" s="1"/>
  <c r="L42" i="2"/>
  <c r="M42" i="2"/>
  <c r="N42" i="2" s="1"/>
  <c r="G47" i="2" l="1"/>
  <c r="H43" i="2"/>
  <c r="G48" i="2"/>
  <c r="G49" i="2" l="1"/>
  <c r="G50" i="2" s="1"/>
  <c r="G51" i="2"/>
  <c r="G52" i="2" s="1"/>
  <c r="G53" i="2"/>
  <c r="G54" i="2" l="1"/>
  <c r="G55" i="2" s="1"/>
  <c r="I46" i="2" s="1"/>
  <c r="G56" i="2" l="1"/>
  <c r="I43" i="2" s="1"/>
  <c r="I47" i="2" l="1"/>
  <c r="J43" i="2"/>
  <c r="I48" i="2"/>
  <c r="I49" i="2" l="1"/>
  <c r="I50" i="2" s="1"/>
  <c r="I51" i="2"/>
  <c r="I52" i="2" s="1"/>
  <c r="I53" i="2"/>
  <c r="I54" i="2" l="1"/>
  <c r="I55" i="2" s="1"/>
  <c r="K46" i="2" s="1"/>
  <c r="I56" i="2" l="1"/>
  <c r="K43" i="2" s="1"/>
  <c r="K47" i="2" l="1"/>
  <c r="L43" i="2"/>
  <c r="K48" i="2"/>
  <c r="K51" i="2" l="1"/>
  <c r="K52" i="2" s="1"/>
  <c r="K49" i="2"/>
  <c r="K50" i="2" s="1"/>
  <c r="K53" i="2"/>
  <c r="K54" i="2" l="1"/>
  <c r="K55" i="2" s="1"/>
  <c r="M46" i="2" s="1"/>
  <c r="K56" i="2" l="1"/>
  <c r="M43" i="2" s="1"/>
  <c r="N43" i="2" l="1"/>
  <c r="M47" i="2"/>
  <c r="M48" i="2"/>
  <c r="M51" i="2" l="1"/>
  <c r="M52" i="2" s="1"/>
  <c r="M49" i="2"/>
  <c r="M50" i="2" s="1"/>
  <c r="L33" i="2"/>
  <c r="M53" i="2"/>
  <c r="I8" i="2" l="1"/>
  <c r="L32" i="2"/>
  <c r="M54" i="2"/>
  <c r="L34" i="2" s="1"/>
  <c r="M55" i="2" l="1"/>
  <c r="L35" i="2" l="1"/>
  <c r="M56" i="2"/>
  <c r="L36" i="2" l="1"/>
  <c r="J8" i="2"/>
</calcChain>
</file>

<file path=xl/sharedStrings.xml><?xml version="1.0" encoding="utf-8"?>
<sst xmlns="http://schemas.openxmlformats.org/spreadsheetml/2006/main" count="235" uniqueCount="136">
  <si>
    <t>Allowance</t>
  </si>
  <si>
    <t>Density</t>
  </si>
  <si>
    <t>Price</t>
  </si>
  <si>
    <t>kg/m3</t>
  </si>
  <si>
    <t>Jan</t>
  </si>
  <si>
    <t>Feb</t>
  </si>
  <si>
    <t>Mar</t>
  </si>
  <si>
    <t>Apr</t>
  </si>
  <si>
    <t>May</t>
  </si>
  <si>
    <t>Jun</t>
  </si>
  <si>
    <t>Jul</t>
  </si>
  <si>
    <t>Aug</t>
  </si>
  <si>
    <t>Sep</t>
  </si>
  <si>
    <t>Oct</t>
  </si>
  <si>
    <t>Nov</t>
  </si>
  <si>
    <t>Dec</t>
  </si>
  <si>
    <t>WCS</t>
  </si>
  <si>
    <t>Diluent Addition/ Shrinkage Calculations</t>
  </si>
  <si>
    <t xml:space="preserve"> Volumetric Shrinkage Due to Blending</t>
  </si>
  <si>
    <r>
      <t xml:space="preserve">AS PER </t>
    </r>
    <r>
      <rPr>
        <b/>
        <i/>
        <sz val="14"/>
        <rFont val="Arial"/>
        <family val="2"/>
      </rPr>
      <t>API 12.3</t>
    </r>
  </si>
  <si>
    <t>MODEL INPUTS</t>
  </si>
  <si>
    <t>RESULTS</t>
  </si>
  <si>
    <t>Volume of Dry Crude =</t>
  </si>
  <si>
    <t>m3</t>
  </si>
  <si>
    <t>% C5+ in Total Blend (Fc) =</t>
  </si>
  <si>
    <t>%</t>
  </si>
  <si>
    <t>Diluent Required in Blend=</t>
  </si>
  <si>
    <t>Shrinkage Volume =</t>
  </si>
  <si>
    <t>Volume of Blend =</t>
  </si>
  <si>
    <t>S.F.</t>
  </si>
  <si>
    <t>Calculation</t>
  </si>
  <si>
    <t>Iteration 1</t>
  </si>
  <si>
    <t>Iteration 2</t>
  </si>
  <si>
    <t>Iteration 3</t>
  </si>
  <si>
    <t>Iteration 4</t>
  </si>
  <si>
    <t>Iteration 5</t>
  </si>
  <si>
    <t>1/d</t>
  </si>
  <si>
    <t>Diluent Density</t>
  </si>
  <si>
    <t>Raw Crude Density</t>
  </si>
  <si>
    <t>Target Density</t>
  </si>
  <si>
    <t>Raw Crude Volume</t>
  </si>
  <si>
    <t>Raw Crude Mass</t>
  </si>
  <si>
    <t>kg</t>
  </si>
  <si>
    <t>Required Diluent Volume</t>
  </si>
  <si>
    <t>Diluent Mass</t>
  </si>
  <si>
    <t>Total Blend Mass</t>
  </si>
  <si>
    <t>Volume % Diluent in Blend</t>
  </si>
  <si>
    <t>Volumetric Shrinkage, API 12.3</t>
  </si>
  <si>
    <t>Total Calculated Blend Volume</t>
  </si>
  <si>
    <t>Shrinkage Volume</t>
  </si>
  <si>
    <t>Total Actual Blend Volume</t>
  </si>
  <si>
    <t>Actual Blend Density</t>
  </si>
  <si>
    <r>
      <t>kg/m</t>
    </r>
    <r>
      <rPr>
        <b/>
        <vertAlign val="superscript"/>
        <sz val="10"/>
        <rFont val="Arial"/>
        <family val="2"/>
      </rPr>
      <t>3</t>
    </r>
  </si>
  <si>
    <t>F/X</t>
  </si>
  <si>
    <t>$Cdn/$US</t>
  </si>
  <si>
    <t>$US/bbl</t>
  </si>
  <si>
    <t>$US /bbl</t>
  </si>
  <si>
    <t>Royalty Value</t>
  </si>
  <si>
    <t xml:space="preserve"> Bitumen @ Hardisty</t>
  </si>
  <si>
    <t>Condensate</t>
  </si>
  <si>
    <t>Settlement</t>
  </si>
  <si>
    <t>Dilbit</t>
  </si>
  <si>
    <t>Premium</t>
  </si>
  <si>
    <t>BVM</t>
  </si>
  <si>
    <t>"CRW"</t>
  </si>
  <si>
    <t>Adjustment</t>
  </si>
  <si>
    <t>Value</t>
  </si>
  <si>
    <t>From Data Tables</t>
  </si>
  <si>
    <t>Diluent Required</t>
  </si>
  <si>
    <t>of Bitumen</t>
  </si>
  <si>
    <t>Per Unit Volume</t>
  </si>
  <si>
    <t>BVM Dilbit Blend</t>
  </si>
  <si>
    <t>Volume Generated</t>
  </si>
  <si>
    <t>Hardisty</t>
  </si>
  <si>
    <t>Bitumen</t>
  </si>
  <si>
    <t>Bitumen Synbit</t>
  </si>
  <si>
    <t>Alberta Oil Sands</t>
  </si>
  <si>
    <t>Sources:</t>
  </si>
  <si>
    <r>
      <t xml:space="preserve">WCS </t>
    </r>
    <r>
      <rPr>
        <b/>
        <vertAlign val="superscript"/>
        <sz val="12"/>
        <rFont val="Arial"/>
        <family val="2"/>
      </rPr>
      <t>2</t>
    </r>
  </si>
  <si>
    <t>Fraction</t>
  </si>
  <si>
    <r>
      <t>$Cdn/m</t>
    </r>
    <r>
      <rPr>
        <b/>
        <vertAlign val="superscript"/>
        <sz val="12"/>
        <rFont val="Arial"/>
        <family val="2"/>
      </rPr>
      <t>3</t>
    </r>
  </si>
  <si>
    <r>
      <t>&lt;&lt; ( Bitumen_Synbit) - (Bitumen_Dilbit) Density Blending Difference, kg/m</t>
    </r>
    <r>
      <rPr>
        <b/>
        <i/>
        <vertAlign val="superscript"/>
        <sz val="12"/>
        <rFont val="Arial"/>
        <family val="2"/>
      </rPr>
      <t>3</t>
    </r>
  </si>
  <si>
    <r>
      <t>$Cdn/m</t>
    </r>
    <r>
      <rPr>
        <b/>
        <vertAlign val="superscript"/>
        <sz val="10"/>
        <rFont val="Arial"/>
        <family val="2"/>
      </rPr>
      <t>3</t>
    </r>
  </si>
  <si>
    <t>Blend</t>
  </si>
  <si>
    <t>Volume</t>
  </si>
  <si>
    <t>Heavy Blend</t>
  </si>
  <si>
    <r>
      <t xml:space="preserve">WCS </t>
    </r>
    <r>
      <rPr>
        <b/>
        <vertAlign val="superscript"/>
        <sz val="12"/>
        <rFont val="Arial"/>
        <family val="2"/>
      </rPr>
      <t>2,3</t>
    </r>
  </si>
  <si>
    <r>
      <t xml:space="preserve">Condensate </t>
    </r>
    <r>
      <rPr>
        <b/>
        <vertAlign val="superscript"/>
        <sz val="12"/>
        <rFont val="Arial"/>
        <family val="2"/>
      </rPr>
      <t>4</t>
    </r>
  </si>
  <si>
    <t xml:space="preserve"> Bitumen Valuation Methodology</t>
  </si>
  <si>
    <r>
      <t>kg/m</t>
    </r>
    <r>
      <rPr>
        <b/>
        <vertAlign val="superscript"/>
        <sz val="11"/>
        <rFont val="Arial"/>
        <family val="2"/>
      </rPr>
      <t xml:space="preserve">3 </t>
    </r>
    <r>
      <rPr>
        <b/>
        <sz val="11"/>
        <rFont val="Arial"/>
        <family val="2"/>
      </rPr>
      <t>@</t>
    </r>
    <r>
      <rPr>
        <b/>
        <vertAlign val="superscript"/>
        <sz val="11"/>
        <rFont val="Arial"/>
        <family val="2"/>
      </rPr>
      <t xml:space="preserve"> </t>
    </r>
    <r>
      <rPr>
        <b/>
        <sz val="11"/>
        <rFont val="Arial"/>
        <family val="2"/>
      </rPr>
      <t>15˚C</t>
    </r>
  </si>
  <si>
    <t>Link to official Crown Site</t>
  </si>
  <si>
    <r>
      <t xml:space="preserve">WCS </t>
    </r>
    <r>
      <rPr>
        <b/>
        <vertAlign val="superscript"/>
        <sz val="12"/>
        <rFont val="Arial"/>
        <family val="2"/>
      </rPr>
      <t>1</t>
    </r>
  </si>
  <si>
    <t xml:space="preserve">FX - rounded to 5 decimals </t>
  </si>
  <si>
    <t>1:   Effective Sep 09, calculated using the volume weighted average of the"NGX WCS WTI" and  "NEI WCS" indices</t>
  </si>
  <si>
    <t>Rolling Average</t>
  </si>
  <si>
    <t>5:   The bitumen density should be reported to one decimal place as per IB 2014-06</t>
  </si>
  <si>
    <t>Diluent</t>
  </si>
  <si>
    <t>Required</t>
  </si>
  <si>
    <t>Generated</t>
  </si>
  <si>
    <t>Per Unit</t>
  </si>
  <si>
    <t>Volume Of</t>
  </si>
  <si>
    <t>Month</t>
  </si>
  <si>
    <t>www.ngx.com</t>
  </si>
  <si>
    <t>www.ne2.ca</t>
  </si>
  <si>
    <t xml:space="preserve">     for "NGX WCS WTI"details contact Natural Gas Exhange Inc. at:</t>
  </si>
  <si>
    <t xml:space="preserve">     for "NEI WCS"details contact Net Energy Inc. at:</t>
  </si>
  <si>
    <t>4:   Per Enbridge, distributed by Equalization Steering Committee</t>
  </si>
  <si>
    <t>2:   Per WCS Stream Founder's Representative - CNRL</t>
  </si>
  <si>
    <t>The model is essentially a mass balance that "blends" the WCS (dilbit) from two components: project bitumen and "CRW" diluent. The model calculates the amount of diluent required to be added to the respective project bitumen to match the WCS dilbit density.</t>
  </si>
  <si>
    <t>The value of the project bitumen is obtained by multiplying this volume by the WCS dilbit value and subtracting the cost of the diluent added to make the blend.</t>
  </si>
  <si>
    <t>1:   As per section 1(5)(a) of the Bitumen Valuation Methodology Regulation</t>
  </si>
  <si>
    <r>
      <t>Conversion m3 @15C to bbl @ 60F</t>
    </r>
    <r>
      <rPr>
        <b/>
        <vertAlign val="superscript"/>
        <sz val="8"/>
        <color indexed="63"/>
        <rFont val="Arial"/>
        <family val="2"/>
      </rPr>
      <t>1</t>
    </r>
  </si>
  <si>
    <t>Date</t>
  </si>
  <si>
    <t>Changes</t>
  </si>
  <si>
    <t>2. The old data tables on the "Data Tables" sheet have been removed and replaced with a new data table where the different monthly bitumen densities are taken into account.</t>
  </si>
  <si>
    <r>
      <t>3. Bitumen density is now rounded to the nearest 0.1 kg/m</t>
    </r>
    <r>
      <rPr>
        <vertAlign val="superscript"/>
        <sz val="10"/>
        <rFont val="Arial"/>
        <family val="2"/>
      </rPr>
      <t>3</t>
    </r>
    <r>
      <rPr>
        <sz val="10"/>
        <rFont val="Arial"/>
        <family val="2"/>
      </rPr>
      <t xml:space="preserve"> to match the OASIS royalty calculation.</t>
    </r>
  </si>
  <si>
    <t>4. Revised Instructions on the "Instructions" sheet.</t>
  </si>
  <si>
    <t>6. Notes on bottom of the "Inputs &amp; Results" sheet have been revised, with hyperlinks now working.</t>
  </si>
  <si>
    <r>
      <t>7. Added the units ($Cdn/m</t>
    </r>
    <r>
      <rPr>
        <vertAlign val="superscript"/>
        <sz val="10"/>
        <rFont val="Arial"/>
        <family val="2"/>
      </rPr>
      <t>3</t>
    </r>
    <r>
      <rPr>
        <sz val="10"/>
        <rFont val="Arial"/>
        <family val="2"/>
      </rPr>
      <t xml:space="preserve"> or $US/bbl) to the chart titles on the "Inputs &amp; Results" sheet.</t>
    </r>
  </si>
  <si>
    <t>9. Added a "Log of Changes" sheet to record the changes having been made.</t>
  </si>
  <si>
    <t>8. Added a note to the bottom of the "Calculation" sheet, indicating the source of the bitumen conversion factor.</t>
  </si>
  <si>
    <r>
      <t xml:space="preserve">Six-measurement </t>
    </r>
    <r>
      <rPr>
        <b/>
        <vertAlign val="superscript"/>
        <sz val="12"/>
        <rFont val="Arial"/>
        <family val="2"/>
      </rPr>
      <t>5,6</t>
    </r>
  </si>
  <si>
    <t>6:   The bitumen density reported should be a six-measurement rolling average as per IB 2014-08</t>
  </si>
  <si>
    <t>3:   Four-month rolling average</t>
  </si>
  <si>
    <t>1. A separate column has been added where the user can input a differend bitumen density for every month, as opposed to a single value for every month in the year. This is in column C of the "Inputs &amp; Results" sheet.</t>
  </si>
  <si>
    <t>5. Changed column heading wording for Bitumen Density on the "Inputs &amp; Results" sheet to indicate Six-measurement Rolling Average instead of Six Month Rolling Average.</t>
  </si>
  <si>
    <t>Mechanism of Calculation:</t>
  </si>
  <si>
    <t>User Inputs:</t>
  </si>
  <si>
    <t>To learn more about the BVM components, please refer to the "Definitions" sheet.</t>
  </si>
  <si>
    <r>
      <t>This model is intended for a user to obtain the monthly bitumen price at Hardisty for an oil sands project that has insufficient arm's length transaction of the royalty payable volumes. To protect the integrity of the calculation process, this workbook is locked for editing except the green-shaded cells on the "Inputs &amp; Results" sheet. The default bitumen density on the “Six-measurement Rolling Average Bitumen Density” column for each month in a year is 1015.0 kg/m</t>
    </r>
    <r>
      <rPr>
        <vertAlign val="superscript"/>
        <sz val="12"/>
        <rFont val="Arial"/>
        <family val="2"/>
      </rPr>
      <t>3</t>
    </r>
    <r>
      <rPr>
        <sz val="12"/>
        <rFont val="Arial"/>
        <family val="2"/>
      </rPr>
      <t xml:space="preserve"> in blue text; the values on the remaining green-shaded cells are entered by Alberta Energy staff in accordance with the published data components for the BVM on the Information Letters for the same months.</t>
    </r>
  </si>
  <si>
    <r>
      <t>Volumetric measurements are in m</t>
    </r>
    <r>
      <rPr>
        <vertAlign val="superscript"/>
        <sz val="12"/>
        <rFont val="Arial"/>
        <family val="2"/>
      </rPr>
      <t>3</t>
    </r>
    <r>
      <rPr>
        <sz val="12"/>
        <rFont val="Arial"/>
        <family val="2"/>
      </rPr>
      <t xml:space="preserve"> @ 15 </t>
    </r>
    <r>
      <rPr>
        <sz val="12"/>
        <rFont val="Calibri"/>
        <family val="2"/>
      </rPr>
      <t>°</t>
    </r>
    <r>
      <rPr>
        <sz val="12"/>
        <rFont val="Arial"/>
        <family val="2"/>
      </rPr>
      <t>C (59 °F) and/or bbl @ 60 °F.</t>
    </r>
  </si>
  <si>
    <r>
      <t>The user needs to replace the default bitumen density value with the actual bitumen density of an oil sands project for a specific month and the corresponding bitumen prices at Hardisty for that month are updated automatically on Column K and L (in $Cdn/m</t>
    </r>
    <r>
      <rPr>
        <vertAlign val="superscript"/>
        <sz val="12"/>
        <rFont val="Arial"/>
        <family val="2"/>
      </rPr>
      <t>3</t>
    </r>
    <r>
      <rPr>
        <sz val="12"/>
        <rFont val="Arial"/>
        <family val="2"/>
      </rPr>
      <t xml:space="preserve"> and $US/bbl).</t>
    </r>
  </si>
  <si>
    <t>The model calculates the monthly value of bitumen at Hardisty based on a project's bitumen density, WCS settlement price and the "CRW" condensate allowance oil price. Since WCS is a combination of dilbit &amp; synbit streams and the royalty is based on a "dilbit" reference value, a modification to both the WCS density and the WCS settlement value is required to correct WCS to a 100% dilbit basis.</t>
  </si>
  <si>
    <r>
      <t xml:space="preserve">All density measurements are at 15 </t>
    </r>
    <r>
      <rPr>
        <sz val="12"/>
        <rFont val="Calibri"/>
        <family val="2"/>
      </rPr>
      <t>°</t>
    </r>
    <r>
      <rPr>
        <sz val="12"/>
        <rFont val="Arial"/>
        <family val="2"/>
      </rPr>
      <t>C and 1 atmosphere (Standard conditions).</t>
    </r>
  </si>
  <si>
    <r>
      <t>&lt;&lt; Quality Adjustment, $Cdn/m</t>
    </r>
    <r>
      <rPr>
        <b/>
        <i/>
        <vertAlign val="superscript"/>
        <sz val="12"/>
        <rFont val="Arial"/>
        <family val="2"/>
      </rPr>
      <t>3</t>
    </r>
  </si>
  <si>
    <t>10. Added a Quality Adjustment of $4.34171, which is subtracted from the Bitumen price at Hardisty, as per changes to the BVM Regulations, as of Jan 1,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</si>
</sst>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quot;$&quot;* #,##0.00_-;\-&quot;$&quot;* #,##0.00_-;_-&quot;$&quot;* &quot;-&quot;??_-;_-@_-"/>
    <numFmt numFmtId="43" formatCode="_-* #,##0.00_-;\-* #,##0.00_-;_-* &quot;-&quot;??_-;_-@_-"/>
    <numFmt numFmtId="164" formatCode="_(* #,##0.00_);_(* \(#,##0.00\);_(* &quot;-&quot;??_);_(@_)"/>
    <numFmt numFmtId="165" formatCode="0.0"/>
    <numFmt numFmtId="166" formatCode="0.000"/>
    <numFmt numFmtId="167" formatCode="#,##0.0"/>
    <numFmt numFmtId="168" formatCode="#,##0.0000"/>
    <numFmt numFmtId="169" formatCode="0.000000"/>
    <numFmt numFmtId="170" formatCode="0.000_)"/>
    <numFmt numFmtId="171" formatCode="0.0000"/>
    <numFmt numFmtId="172" formatCode="_(* #,##0.00000_);_(* \(#,##0.00000\);_(* &quot;-&quot;??_);_(@_)"/>
    <numFmt numFmtId="173" formatCode="0.00_);\(0.00\)"/>
    <numFmt numFmtId="174" formatCode="#,##0.0_);\(#,##0.0\)"/>
    <numFmt numFmtId="175" formatCode="#,##0.00000"/>
    <numFmt numFmtId="176" formatCode="0.00000_);\(0.00000\)"/>
    <numFmt numFmtId="177" formatCode="&quot;$&quot;#,##0.00000"/>
  </numFmts>
  <fonts count="48" x14ac:knownFonts="1">
    <font>
      <sz val="10"/>
      <name val="Arial"/>
    </font>
    <font>
      <sz val="11"/>
      <color theme="1"/>
      <name val="Calibri"/>
      <family val="2"/>
      <scheme val="minor"/>
    </font>
    <font>
      <sz val="10"/>
      <name val="Arial"/>
      <family val="2"/>
    </font>
    <font>
      <b/>
      <sz val="10"/>
      <name val="Arial"/>
      <family val="2"/>
    </font>
    <font>
      <sz val="20"/>
      <name val="Arial"/>
      <family val="2"/>
    </font>
    <font>
      <sz val="24"/>
      <name val="Arial"/>
      <family val="2"/>
    </font>
    <font>
      <b/>
      <sz val="14"/>
      <name val="Arial"/>
      <family val="2"/>
    </font>
    <font>
      <sz val="14"/>
      <name val="Arial"/>
      <family val="2"/>
    </font>
    <font>
      <i/>
      <sz val="14"/>
      <name val="Arial"/>
      <family val="2"/>
    </font>
    <font>
      <b/>
      <i/>
      <sz val="14"/>
      <name val="Arial"/>
      <family val="2"/>
    </font>
    <font>
      <b/>
      <sz val="12"/>
      <name val="Arial"/>
      <family val="2"/>
    </font>
    <font>
      <b/>
      <sz val="12"/>
      <color indexed="8"/>
      <name val="Arial"/>
      <family val="2"/>
    </font>
    <font>
      <b/>
      <sz val="16"/>
      <name val="Arial"/>
      <family val="2"/>
    </font>
    <font>
      <sz val="12"/>
      <name val="Arial"/>
      <family val="2"/>
    </font>
    <font>
      <b/>
      <u/>
      <sz val="12"/>
      <name val="Arial"/>
      <family val="2"/>
    </font>
    <font>
      <b/>
      <sz val="12"/>
      <color indexed="32"/>
      <name val="Arial"/>
      <family val="2"/>
    </font>
    <font>
      <b/>
      <sz val="12"/>
      <color indexed="10"/>
      <name val="Arial"/>
      <family val="2"/>
    </font>
    <font>
      <b/>
      <sz val="8"/>
      <color indexed="23"/>
      <name val="Arial"/>
      <family val="2"/>
    </font>
    <font>
      <sz val="8"/>
      <name val="Arial"/>
      <family val="2"/>
    </font>
    <font>
      <b/>
      <vertAlign val="superscript"/>
      <sz val="10"/>
      <name val="Arial"/>
      <family val="2"/>
    </font>
    <font>
      <b/>
      <i/>
      <sz val="10"/>
      <name val="Arial"/>
      <family val="2"/>
    </font>
    <font>
      <b/>
      <sz val="8"/>
      <color indexed="8"/>
      <name val="Arial"/>
      <family val="2"/>
    </font>
    <font>
      <sz val="8"/>
      <name val="Arial"/>
      <family val="2"/>
    </font>
    <font>
      <b/>
      <sz val="8"/>
      <color indexed="32"/>
      <name val="Arial"/>
      <family val="2"/>
    </font>
    <font>
      <b/>
      <sz val="8"/>
      <color indexed="10"/>
      <name val="Arial"/>
      <family val="2"/>
    </font>
    <font>
      <b/>
      <sz val="8"/>
      <name val="Arial"/>
      <family val="2"/>
    </font>
    <font>
      <sz val="10"/>
      <color indexed="22"/>
      <name val="Arial"/>
      <family val="2"/>
    </font>
    <font>
      <sz val="10"/>
      <name val="Arial"/>
      <family val="2"/>
    </font>
    <font>
      <b/>
      <sz val="8"/>
      <color indexed="63"/>
      <name val="Arial"/>
      <family val="2"/>
    </font>
    <font>
      <b/>
      <sz val="18"/>
      <name val="Arial"/>
      <family val="2"/>
    </font>
    <font>
      <b/>
      <i/>
      <sz val="12"/>
      <name val="Arial"/>
      <family val="2"/>
    </font>
    <font>
      <b/>
      <vertAlign val="superscript"/>
      <sz val="12"/>
      <name val="Arial"/>
      <family val="2"/>
    </font>
    <font>
      <b/>
      <sz val="12"/>
      <color indexed="16"/>
      <name val="Arial"/>
      <family val="2"/>
    </font>
    <font>
      <b/>
      <i/>
      <vertAlign val="superscript"/>
      <sz val="12"/>
      <name val="Arial"/>
      <family val="2"/>
    </font>
    <font>
      <b/>
      <i/>
      <sz val="10"/>
      <color indexed="10"/>
      <name val="Arial"/>
      <family val="2"/>
    </font>
    <font>
      <b/>
      <i/>
      <u/>
      <sz val="10"/>
      <color indexed="10"/>
      <name val="Arial"/>
      <family val="2"/>
    </font>
    <font>
      <b/>
      <sz val="11"/>
      <name val="Arial"/>
      <family val="2"/>
    </font>
    <font>
      <b/>
      <vertAlign val="superscript"/>
      <sz val="11"/>
      <name val="Arial"/>
      <family val="2"/>
    </font>
    <font>
      <sz val="10"/>
      <name val="Arial"/>
      <family val="2"/>
    </font>
    <font>
      <vertAlign val="superscript"/>
      <sz val="10"/>
      <name val="Arial"/>
      <family val="2"/>
    </font>
    <font>
      <b/>
      <vertAlign val="superscript"/>
      <sz val="8"/>
      <color indexed="63"/>
      <name val="Arial"/>
      <family val="2"/>
    </font>
    <font>
      <sz val="12"/>
      <name val="Calibri"/>
      <family val="2"/>
    </font>
    <font>
      <vertAlign val="superscript"/>
      <sz val="12"/>
      <name val="Arial"/>
      <family val="2"/>
    </font>
    <font>
      <b/>
      <sz val="10"/>
      <color indexed="22"/>
      <name val="Arial"/>
      <family val="2"/>
    </font>
    <font>
      <sz val="10"/>
      <color theme="1"/>
      <name val="Arial"/>
      <family val="2"/>
    </font>
    <font>
      <sz val="11"/>
      <color theme="1"/>
      <name val="Calibri"/>
      <family val="2"/>
      <scheme val="minor"/>
    </font>
    <font>
      <b/>
      <sz val="12"/>
      <color rgb="FF0000FF"/>
      <name val="Arial"/>
      <family val="2"/>
    </font>
    <font>
      <u/>
      <sz val="10"/>
      <color theme="10"/>
      <name val="Arial"/>
      <family val="2"/>
    </font>
  </fonts>
  <fills count="12">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1"/>
        <bgColor indexed="64"/>
      </patternFill>
    </fill>
    <fill>
      <patternFill patternType="solid">
        <fgColor indexed="23"/>
        <bgColor indexed="64"/>
      </patternFill>
    </fill>
    <fill>
      <patternFill patternType="solid">
        <fgColor indexed="51"/>
        <bgColor indexed="64"/>
      </patternFill>
    </fill>
    <fill>
      <patternFill patternType="solid">
        <fgColor rgb="FFC0C0C0"/>
        <bgColor indexed="64"/>
      </patternFill>
    </fill>
    <fill>
      <patternFill patternType="solid">
        <fgColor rgb="FFFFFF99"/>
        <bgColor indexed="64"/>
      </patternFill>
    </fill>
  </fills>
  <borders count="51">
    <border>
      <left/>
      <right/>
      <top/>
      <bottom/>
      <diagonal/>
    </border>
    <border>
      <left style="thick">
        <color indexed="64"/>
      </left>
      <right/>
      <top/>
      <bottom/>
      <diagonal/>
    </border>
    <border>
      <left/>
      <right style="thick">
        <color indexed="64"/>
      </right>
      <top/>
      <bottom/>
      <diagonal/>
    </border>
    <border>
      <left style="thick">
        <color indexed="53"/>
      </left>
      <right/>
      <top/>
      <bottom/>
      <diagonal/>
    </border>
    <border>
      <left/>
      <right style="thick">
        <color indexed="53"/>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top/>
      <bottom style="thick">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style="double">
        <color indexed="12"/>
      </left>
      <right/>
      <top/>
      <bottom/>
      <diagonal/>
    </border>
    <border>
      <left style="double">
        <color indexed="12"/>
      </left>
      <right/>
      <top/>
      <bottom style="double">
        <color indexed="12"/>
      </bottom>
      <diagonal/>
    </border>
    <border>
      <left style="thin">
        <color indexed="12"/>
      </left>
      <right style="double">
        <color indexed="12"/>
      </right>
      <top style="dashed">
        <color indexed="12"/>
      </top>
      <bottom/>
      <diagonal/>
    </border>
    <border>
      <left style="thin">
        <color indexed="12"/>
      </left>
      <right style="double">
        <color indexed="12"/>
      </right>
      <top/>
      <bottom/>
      <diagonal/>
    </border>
    <border>
      <left style="thin">
        <color indexed="12"/>
      </left>
      <right style="double">
        <color indexed="12"/>
      </right>
      <top/>
      <bottom style="double">
        <color indexed="12"/>
      </bottom>
      <diagonal/>
    </border>
    <border>
      <left style="double">
        <color indexed="12"/>
      </left>
      <right/>
      <top style="dashed">
        <color indexed="12"/>
      </top>
      <bottom/>
      <diagonal/>
    </border>
    <border>
      <left style="thick">
        <color indexed="53"/>
      </left>
      <right/>
      <top/>
      <bottom style="thick">
        <color indexed="53"/>
      </bottom>
      <diagonal/>
    </border>
    <border>
      <left/>
      <right style="thick">
        <color indexed="53"/>
      </right>
      <top/>
      <bottom style="thick">
        <color indexed="53"/>
      </bottom>
      <diagonal/>
    </border>
    <border>
      <left/>
      <right style="double">
        <color indexed="64"/>
      </right>
      <top style="thick">
        <color indexed="64"/>
      </top>
      <bottom/>
      <diagonal/>
    </border>
    <border>
      <left/>
      <right style="double">
        <color indexed="64"/>
      </right>
      <top/>
      <bottom/>
      <diagonal/>
    </border>
    <border>
      <left/>
      <right style="double">
        <color indexed="64"/>
      </right>
      <top/>
      <bottom style="thick">
        <color indexed="64"/>
      </bottom>
      <diagonal/>
    </border>
    <border>
      <left style="double">
        <color indexed="64"/>
      </left>
      <right/>
      <top style="thick">
        <color indexed="64"/>
      </top>
      <bottom/>
      <diagonal/>
    </border>
    <border>
      <left style="double">
        <color indexed="64"/>
      </left>
      <right/>
      <top/>
      <bottom/>
      <diagonal/>
    </border>
    <border>
      <left style="double">
        <color indexed="64"/>
      </left>
      <right/>
      <top/>
      <bottom style="thick">
        <color indexed="64"/>
      </bottom>
      <diagonal/>
    </border>
    <border>
      <left/>
      <right style="double">
        <color indexed="64"/>
      </right>
      <top/>
      <bottom style="double">
        <color indexed="64"/>
      </bottom>
      <diagonal/>
    </border>
    <border>
      <left style="double">
        <color indexed="64"/>
      </left>
      <right style="thick">
        <color indexed="64"/>
      </right>
      <top style="thick">
        <color indexed="64"/>
      </top>
      <bottom/>
      <diagonal/>
    </border>
    <border>
      <left style="double">
        <color indexed="64"/>
      </left>
      <right style="thick">
        <color indexed="64"/>
      </right>
      <top/>
      <bottom/>
      <diagonal/>
    </border>
    <border>
      <left style="double">
        <color indexed="64"/>
      </left>
      <right style="thick">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indexed="12"/>
      </left>
      <right/>
      <top/>
      <bottom style="dashed">
        <color indexed="12"/>
      </bottom>
      <diagonal/>
    </border>
    <border>
      <left/>
      <right style="double">
        <color indexed="12"/>
      </right>
      <top/>
      <bottom style="dashed">
        <color indexed="12"/>
      </bottom>
      <diagonal/>
    </border>
    <border>
      <left style="double">
        <color indexed="12"/>
      </left>
      <right/>
      <top style="double">
        <color indexed="12"/>
      </top>
      <bottom style="double">
        <color indexed="12"/>
      </bottom>
      <diagonal/>
    </border>
    <border>
      <left/>
      <right style="double">
        <color indexed="12"/>
      </right>
      <top style="double">
        <color indexed="12"/>
      </top>
      <bottom style="double">
        <color indexed="12"/>
      </bottom>
      <diagonal/>
    </border>
    <border>
      <left style="thick">
        <color indexed="53"/>
      </left>
      <right/>
      <top style="thick">
        <color indexed="53"/>
      </top>
      <bottom/>
      <diagonal/>
    </border>
    <border>
      <left/>
      <right style="thick">
        <color indexed="53"/>
      </right>
      <top style="thick">
        <color indexed="53"/>
      </top>
      <bottom/>
      <diagonal/>
    </border>
    <border>
      <left/>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s>
  <cellStyleXfs count="24">
    <xf numFmtId="0" fontId="0" fillId="0" borderId="0"/>
    <xf numFmtId="164" fontId="2" fillId="0" borderId="0" applyFont="0" applyFill="0" applyBorder="0" applyAlignment="0" applyProtection="0"/>
    <xf numFmtId="164" fontId="27" fillId="0" borderId="0" applyFont="0" applyFill="0" applyBorder="0" applyAlignment="0" applyProtection="0"/>
    <xf numFmtId="43" fontId="44" fillId="0" borderId="0" applyFont="0" applyFill="0" applyBorder="0" applyAlignment="0" applyProtection="0"/>
    <xf numFmtId="0" fontId="45" fillId="0" borderId="0"/>
    <xf numFmtId="0" fontId="27" fillId="0" borderId="0"/>
    <xf numFmtId="0" fontId="27" fillId="0" borderId="0"/>
    <xf numFmtId="0" fontId="27" fillId="0" borderId="0"/>
    <xf numFmtId="0" fontId="45" fillId="0" borderId="0"/>
    <xf numFmtId="0" fontId="27" fillId="0" borderId="0"/>
    <xf numFmtId="0" fontId="44" fillId="0" borderId="0"/>
    <xf numFmtId="0" fontId="47" fillId="0" borderId="0" applyNumberFormat="0" applyFill="0" applyBorder="0" applyAlignment="0" applyProtection="0"/>
    <xf numFmtId="0" fontId="1" fillId="0" borderId="0"/>
    <xf numFmtId="0" fontId="2" fillId="0" borderId="0"/>
    <xf numFmtId="43" fontId="2" fillId="0" borderId="0" applyFont="0" applyFill="0" applyBorder="0" applyAlignment="0" applyProtection="0"/>
    <xf numFmtId="0" fontId="2" fillId="0" borderId="0"/>
    <xf numFmtId="0" fontId="2" fillId="0" borderId="0"/>
    <xf numFmtId="0" fontId="1" fillId="0" borderId="0"/>
    <xf numFmtId="0" fontId="2" fillId="0" borderId="0"/>
    <xf numFmtId="0" fontId="2" fillId="0" borderId="0"/>
    <xf numFmtId="43" fontId="44" fillId="0" borderId="0" applyFont="0" applyFill="0" applyBorder="0" applyAlignment="0" applyProtection="0"/>
    <xf numFmtId="0" fontId="2" fillId="0" borderId="0"/>
    <xf numFmtId="43" fontId="2" fillId="0" borderId="0" applyFont="0" applyFill="0" applyBorder="0" applyAlignment="0" applyProtection="0"/>
    <xf numFmtId="44" fontId="44" fillId="0" borderId="0" applyFont="0" applyFill="0" applyBorder="0" applyAlignment="0" applyProtection="0"/>
  </cellStyleXfs>
  <cellXfs count="207">
    <xf numFmtId="0" fontId="0" fillId="0" borderId="0" xfId="0"/>
    <xf numFmtId="0" fontId="3" fillId="0" borderId="0" xfId="0" applyFont="1" applyAlignment="1">
      <alignment horizontal="center"/>
    </xf>
    <xf numFmtId="2" fontId="0" fillId="0" borderId="0" xfId="0" applyNumberFormat="1"/>
    <xf numFmtId="166" fontId="0" fillId="0" borderId="0" xfId="0" applyNumberFormat="1"/>
    <xf numFmtId="0" fontId="17" fillId="0" borderId="0" xfId="0" applyFont="1"/>
    <xf numFmtId="0" fontId="3" fillId="0" borderId="0" xfId="0" quotePrefix="1" applyFont="1" applyAlignment="1">
      <alignment horizontal="center"/>
    </xf>
    <xf numFmtId="0" fontId="3" fillId="0" borderId="0" xfId="0" applyFont="1" applyBorder="1" applyAlignment="1">
      <alignment horizontal="center"/>
    </xf>
    <xf numFmtId="2" fontId="0" fillId="0" borderId="0" xfId="0" applyNumberFormat="1" applyAlignment="1">
      <alignment horizontal="center"/>
    </xf>
    <xf numFmtId="0" fontId="3" fillId="0" borderId="0" xfId="0" applyFont="1" applyFill="1" applyAlignment="1">
      <alignment horizontal="center"/>
    </xf>
    <xf numFmtId="0" fontId="25" fillId="0" borderId="0" xfId="0" applyFont="1"/>
    <xf numFmtId="0" fontId="0" fillId="2" borderId="0" xfId="0" applyFill="1"/>
    <xf numFmtId="166" fontId="0" fillId="2" borderId="0" xfId="0" applyNumberFormat="1" applyFill="1" applyBorder="1"/>
    <xf numFmtId="0" fontId="4" fillId="2" borderId="0" xfId="0" applyFont="1" applyFill="1"/>
    <xf numFmtId="0" fontId="5" fillId="2" borderId="0" xfId="0" applyFont="1" applyFill="1"/>
    <xf numFmtId="0" fontId="6" fillId="2" borderId="0" xfId="0" applyFont="1" applyFill="1" applyAlignment="1">
      <alignment horizontal="center"/>
    </xf>
    <xf numFmtId="0" fontId="7" fillId="2" borderId="0" xfId="0" applyFont="1" applyFill="1" applyAlignment="1">
      <alignment horizontal="center"/>
    </xf>
    <xf numFmtId="0" fontId="8" fillId="2" borderId="0" xfId="0" applyFont="1" applyFill="1" applyAlignment="1">
      <alignment horizontal="center"/>
    </xf>
    <xf numFmtId="0" fontId="10" fillId="2" borderId="0" xfId="0" applyFont="1" applyFill="1" applyBorder="1" applyAlignment="1">
      <alignment horizontal="center"/>
    </xf>
    <xf numFmtId="165" fontId="0" fillId="2" borderId="0" xfId="0" applyNumberFormat="1" applyFill="1"/>
    <xf numFmtId="0" fontId="0" fillId="2" borderId="0" xfId="0" applyFill="1" applyAlignment="1"/>
    <xf numFmtId="2" fontId="0" fillId="2" borderId="0" xfId="0" applyNumberFormat="1" applyFill="1"/>
    <xf numFmtId="0" fontId="12" fillId="2" borderId="0" xfId="0" applyFont="1" applyFill="1" applyAlignment="1">
      <alignment horizontal="center"/>
    </xf>
    <xf numFmtId="0" fontId="13" fillId="2" borderId="0" xfId="0" applyFont="1" applyFill="1"/>
    <xf numFmtId="0" fontId="0" fillId="2" borderId="0" xfId="0" applyFill="1" applyBorder="1" applyAlignment="1" applyProtection="1">
      <alignment horizontal="right"/>
    </xf>
    <xf numFmtId="0" fontId="0" fillId="2" borderId="0" xfId="0" applyFill="1" applyAlignment="1" applyProtection="1">
      <alignment horizontal="right"/>
    </xf>
    <xf numFmtId="0" fontId="14" fillId="2" borderId="0" xfId="0" applyFont="1" applyFill="1" applyBorder="1" applyAlignment="1">
      <alignment horizontal="centerContinuous"/>
    </xf>
    <xf numFmtId="0" fontId="10" fillId="2" borderId="0" xfId="0" applyFont="1" applyFill="1" applyBorder="1" applyAlignment="1">
      <alignment horizontal="centerContinuous"/>
    </xf>
    <xf numFmtId="0" fontId="0" fillId="2" borderId="0" xfId="0" applyFill="1" applyBorder="1" applyAlignment="1">
      <alignment horizontal="centerContinuous"/>
    </xf>
    <xf numFmtId="0" fontId="0" fillId="2" borderId="0" xfId="0" applyFill="1" applyBorder="1" applyAlignment="1" applyProtection="1">
      <alignment horizontal="center"/>
    </xf>
    <xf numFmtId="165" fontId="15" fillId="2" borderId="0" xfId="0" applyNumberFormat="1" applyFont="1" applyFill="1" applyBorder="1" applyAlignment="1" applyProtection="1">
      <alignment horizontal="right"/>
    </xf>
    <xf numFmtId="169" fontId="18" fillId="2" borderId="0" xfId="0" applyNumberFormat="1" applyFont="1" applyFill="1" applyBorder="1" applyProtection="1"/>
    <xf numFmtId="165" fontId="15" fillId="2" borderId="0" xfId="0" applyNumberFormat="1" applyFont="1" applyFill="1" applyBorder="1" applyProtection="1"/>
    <xf numFmtId="169" fontId="0" fillId="2" borderId="0" xfId="0" applyNumberFormat="1" applyFill="1" applyBorder="1" applyProtection="1"/>
    <xf numFmtId="170" fontId="0" fillId="2" borderId="0" xfId="0" applyNumberFormat="1" applyFill="1" applyBorder="1" applyProtection="1"/>
    <xf numFmtId="0" fontId="15" fillId="2" borderId="0" xfId="0" applyFont="1" applyFill="1" applyBorder="1" applyAlignment="1" applyProtection="1">
      <alignment horizontal="right"/>
    </xf>
    <xf numFmtId="0" fontId="0" fillId="2" borderId="0" xfId="0" applyFill="1" applyBorder="1" applyProtection="1"/>
    <xf numFmtId="0" fontId="15" fillId="2" borderId="0" xfId="0" applyFont="1" applyFill="1" applyBorder="1" applyProtection="1"/>
    <xf numFmtId="167" fontId="15" fillId="2" borderId="0" xfId="0" applyNumberFormat="1" applyFont="1" applyFill="1" applyBorder="1" applyProtection="1"/>
    <xf numFmtId="167" fontId="21" fillId="2" borderId="0" xfId="0" applyNumberFormat="1" applyFont="1" applyFill="1" applyBorder="1" applyAlignment="1" applyProtection="1">
      <alignment horizontal="right"/>
    </xf>
    <xf numFmtId="167" fontId="21" fillId="2" borderId="0" xfId="0" applyNumberFormat="1" applyFont="1" applyFill="1" applyBorder="1" applyProtection="1"/>
    <xf numFmtId="167" fontId="11" fillId="2" borderId="0" xfId="0" applyNumberFormat="1" applyFont="1" applyFill="1" applyBorder="1" applyProtection="1"/>
    <xf numFmtId="4" fontId="21" fillId="2" borderId="0" xfId="0" applyNumberFormat="1" applyFont="1" applyFill="1" applyBorder="1" applyAlignment="1" applyProtection="1">
      <alignment horizontal="right"/>
    </xf>
    <xf numFmtId="4" fontId="11" fillId="2" borderId="0" xfId="0" applyNumberFormat="1" applyFont="1" applyFill="1" applyBorder="1" applyProtection="1"/>
    <xf numFmtId="4" fontId="11" fillId="2" borderId="0" xfId="0" applyNumberFormat="1" applyFont="1" applyFill="1" applyBorder="1" applyAlignment="1" applyProtection="1">
      <alignment horizontal="right"/>
    </xf>
    <xf numFmtId="0" fontId="0" fillId="2" borderId="0" xfId="0" applyFill="1" applyBorder="1"/>
    <xf numFmtId="4" fontId="16" fillId="3" borderId="0" xfId="0" applyNumberFormat="1" applyFont="1" applyFill="1" applyBorder="1" applyAlignment="1" applyProtection="1">
      <alignment horizontal="right"/>
    </xf>
    <xf numFmtId="171" fontId="23" fillId="2" borderId="0" xfId="0" applyNumberFormat="1" applyFont="1" applyFill="1" applyBorder="1" applyAlignment="1" applyProtection="1">
      <alignment horizontal="right"/>
    </xf>
    <xf numFmtId="171" fontId="15" fillId="2" borderId="0" xfId="0" applyNumberFormat="1" applyFont="1" applyFill="1" applyBorder="1" applyAlignment="1" applyProtection="1">
      <alignment horizontal="right"/>
    </xf>
    <xf numFmtId="0" fontId="26" fillId="2" borderId="0" xfId="0" applyFont="1" applyFill="1"/>
    <xf numFmtId="2" fontId="2" fillId="0" borderId="0" xfId="0" applyNumberFormat="1" applyFont="1"/>
    <xf numFmtId="39" fontId="0" fillId="0" borderId="0" xfId="0" applyNumberFormat="1" applyAlignment="1">
      <alignment horizontal="center"/>
    </xf>
    <xf numFmtId="0" fontId="3" fillId="0" borderId="1" xfId="0" quotePrefix="1"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165" fontId="2" fillId="0" borderId="0" xfId="0" applyNumberFormat="1" applyFont="1" applyAlignment="1">
      <alignment horizontal="center"/>
    </xf>
    <xf numFmtId="0" fontId="0" fillId="0" borderId="3" xfId="0" applyBorder="1"/>
    <xf numFmtId="0" fontId="0" fillId="0" borderId="4" xfId="0" applyBorder="1"/>
    <xf numFmtId="0" fontId="3" fillId="0" borderId="4" xfId="0" quotePrefix="1" applyFont="1" applyBorder="1" applyAlignment="1">
      <alignment horizontal="center"/>
    </xf>
    <xf numFmtId="0" fontId="3" fillId="0" borderId="3" xfId="0" quotePrefix="1"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0" fillId="0" borderId="5" xfId="0" applyBorder="1"/>
    <xf numFmtId="0" fontId="3" fillId="0" borderId="6" xfId="0" quotePrefix="1" applyFont="1" applyBorder="1" applyAlignment="1">
      <alignment horizontal="center"/>
    </xf>
    <xf numFmtId="0" fontId="3" fillId="0" borderId="7" xfId="0" applyFont="1" applyBorder="1" applyAlignment="1">
      <alignment horizontal="center"/>
    </xf>
    <xf numFmtId="165" fontId="0" fillId="0" borderId="1" xfId="0" applyNumberFormat="1" applyBorder="1" applyAlignment="1">
      <alignment horizontal="center"/>
    </xf>
    <xf numFmtId="165" fontId="2" fillId="0" borderId="2" xfId="0" applyNumberFormat="1" applyFont="1" applyBorder="1" applyAlignment="1">
      <alignment horizontal="center"/>
    </xf>
    <xf numFmtId="165" fontId="0" fillId="0" borderId="8" xfId="0" applyNumberFormat="1" applyBorder="1" applyAlignment="1">
      <alignment horizontal="center"/>
    </xf>
    <xf numFmtId="165" fontId="2" fillId="0" borderId="9" xfId="0" applyNumberFormat="1" applyFont="1" applyBorder="1" applyAlignment="1">
      <alignment horizontal="center"/>
    </xf>
    <xf numFmtId="173" fontId="0" fillId="0" borderId="1" xfId="0" applyNumberFormat="1" applyBorder="1" applyAlignment="1">
      <alignment horizontal="center"/>
    </xf>
    <xf numFmtId="173" fontId="0" fillId="0" borderId="8" xfId="0" applyNumberFormat="1" applyBorder="1" applyAlignment="1">
      <alignment horizontal="center"/>
    </xf>
    <xf numFmtId="174" fontId="0" fillId="0" borderId="0" xfId="0" applyNumberFormat="1" applyBorder="1" applyAlignment="1">
      <alignment horizontal="center"/>
    </xf>
    <xf numFmtId="174" fontId="0" fillId="0" borderId="10" xfId="0" applyNumberFormat="1" applyBorder="1" applyAlignment="1">
      <alignment horizontal="center"/>
    </xf>
    <xf numFmtId="175" fontId="24" fillId="3" borderId="0" xfId="0" applyNumberFormat="1" applyFont="1" applyFill="1" applyBorder="1" applyAlignment="1" applyProtection="1">
      <alignment horizontal="right"/>
    </xf>
    <xf numFmtId="175" fontId="21" fillId="2" borderId="0" xfId="0" applyNumberFormat="1" applyFont="1" applyFill="1" applyBorder="1" applyAlignment="1" applyProtection="1">
      <alignment horizontal="right"/>
    </xf>
    <xf numFmtId="175" fontId="21" fillId="2" borderId="0" xfId="0" applyNumberFormat="1" applyFont="1" applyFill="1" applyBorder="1" applyProtection="1"/>
    <xf numFmtId="175" fontId="23" fillId="2" borderId="0" xfId="0" applyNumberFormat="1" applyFont="1" applyFill="1" applyBorder="1" applyAlignment="1" applyProtection="1">
      <alignment horizontal="right"/>
    </xf>
    <xf numFmtId="175" fontId="23" fillId="2" borderId="0" xfId="0" applyNumberFormat="1" applyFont="1" applyFill="1" applyBorder="1" applyProtection="1"/>
    <xf numFmtId="0" fontId="28" fillId="0" borderId="11" xfId="0" quotePrefix="1" applyFont="1" applyBorder="1" applyAlignment="1">
      <alignment horizontal="left"/>
    </xf>
    <xf numFmtId="0" fontId="28" fillId="0" borderId="12" xfId="0" applyFont="1" applyBorder="1"/>
    <xf numFmtId="0" fontId="18" fillId="0" borderId="13" xfId="0" applyFont="1" applyBorder="1"/>
    <xf numFmtId="0" fontId="25" fillId="0" borderId="0" xfId="0" quotePrefix="1" applyFont="1" applyAlignment="1">
      <alignment horizontal="left"/>
    </xf>
    <xf numFmtId="0" fontId="10" fillId="0" borderId="0" xfId="0" applyFont="1" applyAlignment="1">
      <alignment horizontal="center"/>
    </xf>
    <xf numFmtId="0" fontId="13" fillId="0" borderId="0" xfId="0" applyFont="1"/>
    <xf numFmtId="0" fontId="10" fillId="4" borderId="0" xfId="0" applyFont="1" applyFill="1" applyAlignment="1">
      <alignment horizontal="center"/>
    </xf>
    <xf numFmtId="0" fontId="30" fillId="0" borderId="0" xfId="0" quotePrefix="1" applyFont="1" applyAlignment="1">
      <alignment horizontal="left"/>
    </xf>
    <xf numFmtId="0" fontId="30" fillId="0" borderId="0" xfId="0" applyFont="1"/>
    <xf numFmtId="0" fontId="10" fillId="0" borderId="0" xfId="0" quotePrefix="1" applyFont="1" applyAlignment="1">
      <alignment horizontal="center"/>
    </xf>
    <xf numFmtId="165" fontId="10" fillId="5" borderId="0" xfId="0" applyNumberFormat="1" applyFont="1" applyFill="1" applyAlignment="1">
      <alignment horizontal="center"/>
    </xf>
    <xf numFmtId="0" fontId="10" fillId="0" borderId="0" xfId="0" applyFont="1" applyFill="1" applyAlignment="1">
      <alignment horizontal="center"/>
    </xf>
    <xf numFmtId="172" fontId="32" fillId="5" borderId="0" xfId="1" applyNumberFormat="1" applyFont="1" applyFill="1" applyBorder="1" applyAlignment="1"/>
    <xf numFmtId="2" fontId="10" fillId="5" borderId="0" xfId="0" applyNumberFormat="1" applyFont="1" applyFill="1" applyAlignment="1">
      <alignment horizontal="center"/>
    </xf>
    <xf numFmtId="2" fontId="10" fillId="0" borderId="14" xfId="0" applyNumberFormat="1" applyFont="1" applyBorder="1" applyAlignment="1">
      <alignment horizontal="center"/>
    </xf>
    <xf numFmtId="2" fontId="10" fillId="0" borderId="15" xfId="0" applyNumberFormat="1" applyFont="1" applyBorder="1" applyAlignment="1">
      <alignment horizontal="center"/>
    </xf>
    <xf numFmtId="0" fontId="10" fillId="6" borderId="16" xfId="0" quotePrefix="1" applyFont="1" applyFill="1" applyBorder="1" applyAlignment="1">
      <alignment horizontal="center"/>
    </xf>
    <xf numFmtId="2" fontId="10" fillId="0" borderId="17" xfId="0" applyNumberFormat="1" applyFont="1" applyBorder="1" applyAlignment="1">
      <alignment horizontal="center"/>
    </xf>
    <xf numFmtId="2" fontId="10" fillId="0" borderId="18" xfId="0" applyNumberFormat="1" applyFont="1" applyBorder="1" applyAlignment="1">
      <alignment horizontal="center"/>
    </xf>
    <xf numFmtId="0" fontId="10" fillId="6" borderId="19" xfId="0" quotePrefix="1" applyFont="1" applyFill="1" applyBorder="1" applyAlignment="1">
      <alignment horizontal="center"/>
    </xf>
    <xf numFmtId="0" fontId="3" fillId="2" borderId="0" xfId="0" quotePrefix="1" applyFont="1" applyFill="1" applyBorder="1" applyAlignment="1">
      <alignment horizontal="center"/>
    </xf>
    <xf numFmtId="176" fontId="0" fillId="0" borderId="0" xfId="0" applyNumberFormat="1"/>
    <xf numFmtId="0" fontId="3" fillId="2" borderId="1" xfId="0" quotePrefix="1" applyFont="1" applyFill="1" applyBorder="1" applyAlignment="1">
      <alignment horizontal="center"/>
    </xf>
    <xf numFmtId="171" fontId="3" fillId="0" borderId="3" xfId="0" applyNumberFormat="1" applyFont="1" applyBorder="1" applyAlignment="1">
      <alignment horizontal="center"/>
    </xf>
    <xf numFmtId="171" fontId="3" fillId="0" borderId="20" xfId="0" applyNumberFormat="1" applyFont="1" applyBorder="1" applyAlignment="1">
      <alignment horizontal="center"/>
    </xf>
    <xf numFmtId="171" fontId="3" fillId="0" borderId="4" xfId="0" applyNumberFormat="1" applyFont="1" applyBorder="1" applyAlignment="1">
      <alignment horizontal="center"/>
    </xf>
    <xf numFmtId="171" fontId="3" fillId="0" borderId="21" xfId="0" applyNumberFormat="1" applyFont="1" applyBorder="1" applyAlignment="1">
      <alignment horizontal="center"/>
    </xf>
    <xf numFmtId="0" fontId="20" fillId="0" borderId="22" xfId="0" applyFont="1" applyBorder="1"/>
    <xf numFmtId="0" fontId="3" fillId="0" borderId="23" xfId="0" applyFont="1" applyBorder="1" applyAlignment="1">
      <alignment horizontal="center"/>
    </xf>
    <xf numFmtId="173" fontId="0" fillId="0" borderId="23" xfId="0" applyNumberFormat="1" applyBorder="1" applyAlignment="1">
      <alignment horizontal="center"/>
    </xf>
    <xf numFmtId="173" fontId="0" fillId="0" borderId="24" xfId="0" applyNumberFormat="1" applyBorder="1" applyAlignment="1">
      <alignment horizontal="center"/>
    </xf>
    <xf numFmtId="0" fontId="0" fillId="0" borderId="25" xfId="0" applyBorder="1"/>
    <xf numFmtId="0" fontId="20" fillId="0" borderId="22" xfId="0" applyFont="1" applyBorder="1" applyAlignment="1">
      <alignment horizontal="center"/>
    </xf>
    <xf numFmtId="0" fontId="3" fillId="0" borderId="26" xfId="0" applyFont="1" applyBorder="1" applyAlignment="1">
      <alignment horizontal="center"/>
    </xf>
    <xf numFmtId="0" fontId="3" fillId="2" borderId="26" xfId="0" quotePrefix="1" applyFont="1" applyFill="1" applyBorder="1" applyAlignment="1">
      <alignment horizontal="center"/>
    </xf>
    <xf numFmtId="173" fontId="0" fillId="0" borderId="26" xfId="0" applyNumberFormat="1" applyBorder="1" applyAlignment="1">
      <alignment horizontal="center"/>
    </xf>
    <xf numFmtId="173" fontId="0" fillId="0" borderId="27" xfId="0" applyNumberFormat="1" applyBorder="1" applyAlignment="1">
      <alignment horizontal="center"/>
    </xf>
    <xf numFmtId="0" fontId="17" fillId="0" borderId="28" xfId="0" applyFont="1" applyBorder="1" applyAlignment="1">
      <alignment horizontal="center"/>
    </xf>
    <xf numFmtId="0" fontId="28" fillId="0" borderId="26" xfId="0" applyFont="1" applyBorder="1"/>
    <xf numFmtId="0" fontId="0" fillId="0" borderId="26" xfId="0" applyBorder="1"/>
    <xf numFmtId="0" fontId="20" fillId="0" borderId="29" xfId="0" applyFont="1" applyBorder="1" applyAlignment="1">
      <alignment horizontal="center"/>
    </xf>
    <xf numFmtId="0" fontId="3" fillId="0" borderId="30" xfId="0" applyFont="1" applyBorder="1" applyAlignment="1">
      <alignment horizontal="center"/>
    </xf>
    <xf numFmtId="0" fontId="3" fillId="2" borderId="30" xfId="0" quotePrefix="1" applyFont="1" applyFill="1" applyBorder="1" applyAlignment="1">
      <alignment horizontal="center"/>
    </xf>
    <xf numFmtId="173" fontId="0" fillId="0" borderId="30" xfId="0" applyNumberFormat="1" applyBorder="1" applyAlignment="1">
      <alignment horizontal="center"/>
    </xf>
    <xf numFmtId="173" fontId="0" fillId="0" borderId="31" xfId="0" applyNumberFormat="1" applyBorder="1" applyAlignment="1">
      <alignment horizontal="center"/>
    </xf>
    <xf numFmtId="0" fontId="20" fillId="0" borderId="32" xfId="0" applyFont="1" applyBorder="1"/>
    <xf numFmtId="0" fontId="3" fillId="0" borderId="33" xfId="0" applyFont="1" applyBorder="1" applyAlignment="1">
      <alignment horizontal="center"/>
    </xf>
    <xf numFmtId="0" fontId="3" fillId="2" borderId="33" xfId="0" quotePrefix="1" applyFont="1" applyFill="1" applyBorder="1" applyAlignment="1">
      <alignment horizontal="center"/>
    </xf>
    <xf numFmtId="173" fontId="0" fillId="0" borderId="33" xfId="0" applyNumberFormat="1" applyBorder="1" applyAlignment="1">
      <alignment horizontal="center"/>
    </xf>
    <xf numFmtId="173" fontId="0" fillId="0" borderId="34" xfId="0" applyNumberFormat="1" applyBorder="1" applyAlignment="1">
      <alignment horizontal="center"/>
    </xf>
    <xf numFmtId="0" fontId="3" fillId="0" borderId="32" xfId="0" applyFont="1" applyBorder="1" applyAlignment="1">
      <alignment horizontal="center"/>
    </xf>
    <xf numFmtId="0" fontId="3" fillId="0" borderId="33" xfId="0" quotePrefix="1" applyFont="1" applyBorder="1" applyAlignment="1">
      <alignment horizontal="center"/>
    </xf>
    <xf numFmtId="0" fontId="34" fillId="0" borderId="0" xfId="0" applyFont="1"/>
    <xf numFmtId="0" fontId="10" fillId="5" borderId="0" xfId="0" quotePrefix="1" applyFont="1" applyFill="1" applyAlignment="1">
      <alignment horizontal="center"/>
    </xf>
    <xf numFmtId="0" fontId="36" fillId="0" borderId="0" xfId="0" quotePrefix="1" applyFont="1" applyAlignment="1">
      <alignment horizontal="center"/>
    </xf>
    <xf numFmtId="172" fontId="32" fillId="5" borderId="0" xfId="1" applyNumberFormat="1" applyFont="1" applyFill="1" applyBorder="1" applyAlignment="1" applyProtection="1"/>
    <xf numFmtId="2" fontId="10" fillId="5" borderId="0" xfId="0" applyNumberFormat="1" applyFont="1" applyFill="1" applyAlignment="1" applyProtection="1">
      <alignment horizontal="center"/>
    </xf>
    <xf numFmtId="165" fontId="10" fillId="5" borderId="0" xfId="0" applyNumberFormat="1" applyFont="1" applyFill="1" applyAlignment="1" applyProtection="1">
      <alignment horizontal="center"/>
    </xf>
    <xf numFmtId="0" fontId="22" fillId="0" borderId="0" xfId="0" applyFont="1"/>
    <xf numFmtId="0" fontId="0" fillId="0" borderId="0" xfId="0" applyNumberFormat="1"/>
    <xf numFmtId="0" fontId="0" fillId="0" borderId="0" xfId="0" applyNumberFormat="1" applyAlignment="1">
      <alignment horizontal="center"/>
    </xf>
    <xf numFmtId="0" fontId="0" fillId="0" borderId="0" xfId="0" applyNumberFormat="1" applyFill="1" applyAlignment="1">
      <alignment horizontal="center"/>
    </xf>
    <xf numFmtId="165" fontId="0" fillId="0" borderId="0" xfId="0" applyNumberFormat="1"/>
    <xf numFmtId="0" fontId="0" fillId="0" borderId="0" xfId="0" applyNumberFormat="1" applyFill="1"/>
    <xf numFmtId="171" fontId="0" fillId="0" borderId="0" xfId="0" applyNumberFormat="1"/>
    <xf numFmtId="17" fontId="27" fillId="10" borderId="0" xfId="0" applyNumberFormat="1" applyFont="1" applyFill="1"/>
    <xf numFmtId="171" fontId="0" fillId="11" borderId="0" xfId="0" applyNumberFormat="1" applyFill="1"/>
    <xf numFmtId="0" fontId="10" fillId="2" borderId="0" xfId="0" applyFont="1" applyFill="1" applyBorder="1" applyAlignment="1" applyProtection="1">
      <alignment horizontal="left"/>
    </xf>
    <xf numFmtId="0" fontId="26" fillId="2" borderId="0" xfId="0" applyFont="1" applyFill="1" applyAlignment="1">
      <alignment horizontal="left"/>
    </xf>
    <xf numFmtId="0" fontId="38" fillId="2" borderId="0" xfId="0" applyFont="1" applyFill="1"/>
    <xf numFmtId="0" fontId="10" fillId="2" borderId="0" xfId="0" quotePrefix="1" applyFont="1" applyFill="1" applyAlignment="1">
      <alignment horizontal="left"/>
    </xf>
    <xf numFmtId="0" fontId="10" fillId="2" borderId="0" xfId="0" applyFont="1" applyFill="1" applyAlignment="1">
      <alignment horizontal="right"/>
    </xf>
    <xf numFmtId="0" fontId="3" fillId="2" borderId="0" xfId="0" applyFont="1" applyFill="1" applyBorder="1" applyAlignment="1" applyProtection="1">
      <alignment horizontal="center"/>
    </xf>
    <xf numFmtId="175" fontId="18" fillId="2" borderId="0" xfId="0" applyNumberFormat="1" applyFont="1" applyFill="1" applyBorder="1" applyProtection="1"/>
    <xf numFmtId="175" fontId="18" fillId="2" borderId="0" xfId="0" applyNumberFormat="1" applyFont="1" applyFill="1"/>
    <xf numFmtId="4" fontId="18" fillId="2" borderId="0" xfId="0" applyNumberFormat="1" applyFont="1" applyFill="1" applyBorder="1" applyProtection="1"/>
    <xf numFmtId="0" fontId="18" fillId="2" borderId="0" xfId="0" applyFont="1" applyFill="1"/>
    <xf numFmtId="175" fontId="18" fillId="2" borderId="0" xfId="0" applyNumberFormat="1" applyFont="1" applyFill="1" applyBorder="1"/>
    <xf numFmtId="0" fontId="18" fillId="2" borderId="0" xfId="0" applyFont="1" applyFill="1" applyBorder="1" applyProtection="1"/>
    <xf numFmtId="165" fontId="46" fillId="5" borderId="0" xfId="0" applyNumberFormat="1" applyFont="1" applyFill="1" applyAlignment="1">
      <alignment horizontal="center"/>
    </xf>
    <xf numFmtId="0" fontId="35" fillId="0" borderId="0" xfId="0" applyFont="1"/>
    <xf numFmtId="0" fontId="0" fillId="0" borderId="0" xfId="0" applyAlignment="1">
      <alignment horizontal="center"/>
    </xf>
    <xf numFmtId="0" fontId="13" fillId="0" borderId="0" xfId="0" applyFont="1" applyAlignment="1">
      <alignment horizontal="left" wrapText="1"/>
    </xf>
    <xf numFmtId="0" fontId="13" fillId="0" borderId="0" xfId="0" applyFont="1" applyAlignment="1">
      <alignment horizontal="center"/>
    </xf>
    <xf numFmtId="0" fontId="3" fillId="0" borderId="0" xfId="0" applyFont="1"/>
    <xf numFmtId="172" fontId="43" fillId="7" borderId="0" xfId="1" applyNumberFormat="1" applyFont="1" applyFill="1" applyBorder="1" applyAlignment="1"/>
    <xf numFmtId="0" fontId="3" fillId="0" borderId="35" xfId="0" applyFont="1" applyBorder="1" applyAlignment="1">
      <alignment horizontal="center"/>
    </xf>
    <xf numFmtId="17" fontId="0" fillId="0" borderId="36" xfId="0" applyNumberFormat="1"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3" fillId="0" borderId="38" xfId="0" applyFont="1" applyBorder="1"/>
    <xf numFmtId="0" fontId="27" fillId="0" borderId="39" xfId="0" applyFont="1" applyBorder="1"/>
    <xf numFmtId="0" fontId="27" fillId="0" borderId="40" xfId="0" applyFont="1" applyBorder="1"/>
    <xf numFmtId="165" fontId="46" fillId="5" borderId="0" xfId="0" applyNumberFormat="1" applyFont="1" applyFill="1" applyAlignment="1" applyProtection="1">
      <alignment horizontal="center"/>
    </xf>
    <xf numFmtId="177" fontId="10" fillId="4" borderId="0" xfId="0" applyNumberFormat="1" applyFont="1" applyFill="1" applyAlignment="1">
      <alignment horizontal="center"/>
    </xf>
    <xf numFmtId="17" fontId="0" fillId="0" borderId="35" xfId="0" applyNumberFormat="1" applyBorder="1" applyAlignment="1">
      <alignment horizontal="center"/>
    </xf>
    <xf numFmtId="0" fontId="27" fillId="0" borderId="38" xfId="0" applyFont="1" applyBorder="1"/>
    <xf numFmtId="0" fontId="10" fillId="0" borderId="0" xfId="0" applyFont="1" applyAlignment="1">
      <alignment horizontal="left"/>
    </xf>
    <xf numFmtId="0" fontId="13" fillId="0" borderId="0" xfId="0" applyFont="1" applyAlignment="1">
      <alignment horizontal="center"/>
    </xf>
    <xf numFmtId="0" fontId="13" fillId="0" borderId="0" xfId="0" applyFont="1" applyAlignment="1">
      <alignment horizontal="left" vertical="top" wrapText="1"/>
    </xf>
    <xf numFmtId="0" fontId="13" fillId="0" borderId="0" xfId="0" applyFont="1" applyAlignment="1">
      <alignment horizontal="left" wrapText="1"/>
    </xf>
    <xf numFmtId="0" fontId="0" fillId="0" borderId="0" xfId="0" applyAlignment="1">
      <alignment horizontal="center"/>
    </xf>
    <xf numFmtId="0" fontId="27" fillId="0" borderId="0" xfId="0" applyFont="1" applyAlignment="1">
      <alignment horizontal="center"/>
    </xf>
    <xf numFmtId="0" fontId="6" fillId="0" borderId="0" xfId="0" applyFont="1" applyAlignment="1">
      <alignment horizontal="right"/>
    </xf>
    <xf numFmtId="0" fontId="0" fillId="0" borderId="0" xfId="0" applyAlignment="1">
      <alignment horizontal="right"/>
    </xf>
    <xf numFmtId="0" fontId="29" fillId="0" borderId="0" xfId="0" applyFont="1" applyAlignment="1">
      <alignment horizontal="center"/>
    </xf>
    <xf numFmtId="0" fontId="29" fillId="0" borderId="0" xfId="0" applyFont="1" applyAlignment="1"/>
    <xf numFmtId="0" fontId="29" fillId="0" borderId="0" xfId="0" quotePrefix="1" applyFont="1" applyAlignment="1">
      <alignment horizontal="center"/>
    </xf>
    <xf numFmtId="0" fontId="3" fillId="0" borderId="0" xfId="0" applyFont="1" applyAlignment="1"/>
    <xf numFmtId="0" fontId="30" fillId="6" borderId="41" xfId="0" applyFont="1" applyFill="1" applyBorder="1" applyAlignment="1">
      <alignment horizontal="center"/>
    </xf>
    <xf numFmtId="0" fontId="13" fillId="6" borderId="42" xfId="0" applyFont="1" applyFill="1" applyBorder="1" applyAlignment="1">
      <alignment horizontal="center"/>
    </xf>
    <xf numFmtId="0" fontId="30" fillId="6" borderId="43" xfId="0" quotePrefix="1" applyFont="1" applyFill="1" applyBorder="1" applyAlignment="1">
      <alignment horizontal="center"/>
    </xf>
    <xf numFmtId="0" fontId="30" fillId="6" borderId="44" xfId="0" quotePrefix="1" applyFont="1" applyFill="1" applyBorder="1" applyAlignment="1">
      <alignment horizontal="center"/>
    </xf>
    <xf numFmtId="0" fontId="47" fillId="0" borderId="0" xfId="11" applyAlignment="1">
      <alignment horizontal="left" vertical="center"/>
    </xf>
    <xf numFmtId="0" fontId="3" fillId="8" borderId="1" xfId="0" quotePrefix="1" applyFont="1" applyFill="1" applyBorder="1" applyAlignment="1">
      <alignment horizontal="center"/>
    </xf>
    <xf numFmtId="0" fontId="0" fillId="8" borderId="0" xfId="0" applyFill="1" applyBorder="1" applyAlignment="1"/>
    <xf numFmtId="0" fontId="0" fillId="8" borderId="2" xfId="0" applyFill="1" applyBorder="1" applyAlignment="1"/>
    <xf numFmtId="0" fontId="20" fillId="9" borderId="45" xfId="0" applyFont="1" applyFill="1" applyBorder="1" applyAlignment="1">
      <alignment horizontal="center"/>
    </xf>
    <xf numFmtId="0" fontId="20" fillId="9" borderId="46" xfId="0" applyFont="1" applyFill="1" applyBorder="1" applyAlignment="1">
      <alignment horizontal="center"/>
    </xf>
    <xf numFmtId="0" fontId="14" fillId="2" borderId="0" xfId="0" applyFont="1" applyFill="1" applyBorder="1" applyAlignment="1">
      <alignment horizontal="center"/>
    </xf>
    <xf numFmtId="0" fontId="0" fillId="2" borderId="0" xfId="0" applyFill="1" applyAlignment="1"/>
    <xf numFmtId="168" fontId="10" fillId="2" borderId="35" xfId="0" applyNumberFormat="1" applyFont="1" applyFill="1" applyBorder="1" applyAlignment="1"/>
    <xf numFmtId="168" fontId="0" fillId="2" borderId="50" xfId="0" applyNumberFormat="1" applyFill="1" applyBorder="1" applyAlignment="1"/>
    <xf numFmtId="2" fontId="10" fillId="2" borderId="35" xfId="0" applyNumberFormat="1" applyFont="1" applyFill="1" applyBorder="1" applyAlignment="1"/>
    <xf numFmtId="0" fontId="0" fillId="2" borderId="50" xfId="0" applyFill="1" applyBorder="1" applyAlignment="1"/>
    <xf numFmtId="0" fontId="10" fillId="2" borderId="10" xfId="0" applyFont="1" applyFill="1" applyBorder="1" applyAlignment="1">
      <alignment horizontal="center"/>
    </xf>
    <xf numFmtId="0" fontId="10" fillId="2" borderId="47" xfId="0" applyFont="1" applyFill="1" applyBorder="1" applyAlignment="1">
      <alignment horizontal="center"/>
    </xf>
    <xf numFmtId="168" fontId="10" fillId="2" borderId="0" xfId="0" applyNumberFormat="1" applyFont="1" applyFill="1" applyBorder="1" applyAlignment="1"/>
    <xf numFmtId="165" fontId="11" fillId="2" borderId="48" xfId="0" applyNumberFormat="1" applyFont="1" applyFill="1" applyBorder="1" applyAlignment="1"/>
    <xf numFmtId="165" fontId="0" fillId="2" borderId="49" xfId="0" applyNumberFormat="1" applyFill="1" applyBorder="1" applyAlignment="1"/>
  </cellXfs>
  <cellStyles count="24">
    <cellStyle name="Comma" xfId="1" builtinId="3"/>
    <cellStyle name="Comma 2" xfId="2"/>
    <cellStyle name="Comma 2 2" xfId="14"/>
    <cellStyle name="Comma 3" xfId="3"/>
    <cellStyle name="Comma 3 2" xfId="22"/>
    <cellStyle name="Comma 4" xfId="20"/>
    <cellStyle name="Currency 2" xfId="23"/>
    <cellStyle name="Hyperlink" xfId="11" builtinId="8"/>
    <cellStyle name="Normal" xfId="0" builtinId="0"/>
    <cellStyle name="Normal 2" xfId="4"/>
    <cellStyle name="Normal 2 2" xfId="12"/>
    <cellStyle name="Normal 3" xfId="5"/>
    <cellStyle name="Normal 3 2" xfId="13"/>
    <cellStyle name="Normal 4" xfId="6"/>
    <cellStyle name="Normal 4 2" xfId="15"/>
    <cellStyle name="Normal 5" xfId="7"/>
    <cellStyle name="Normal 5 2" xfId="16"/>
    <cellStyle name="Normal 6" xfId="8"/>
    <cellStyle name="Normal 6 2" xfId="17"/>
    <cellStyle name="Normal 7" xfId="9"/>
    <cellStyle name="Normal 7 2" xfId="18"/>
    <cellStyle name="Normal 8" xfId="10"/>
    <cellStyle name="Normal 8 2" xfId="19"/>
    <cellStyle name="Normal 9" xfId="21"/>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Arial"/>
                <a:ea typeface="Arial"/>
                <a:cs typeface="Arial"/>
              </a:defRPr>
            </a:pPr>
            <a:r>
              <a:rPr lang="en-CA" sz="1200" b="1" i="0" u="none" strike="noStrike" baseline="0">
                <a:solidFill>
                  <a:srgbClr val="000000"/>
                </a:solidFill>
                <a:latin typeface="Arial"/>
                <a:cs typeface="Arial"/>
              </a:rPr>
              <a:t>Monthly </a:t>
            </a:r>
            <a:r>
              <a:rPr lang="en-CA" sz="1200" b="1" i="0" u="sng" strike="noStrike" baseline="0">
                <a:solidFill>
                  <a:srgbClr val="000000"/>
                </a:solidFill>
                <a:latin typeface="Arial"/>
                <a:cs typeface="Arial"/>
              </a:rPr>
              <a:t>Hardisty</a:t>
            </a:r>
            <a:r>
              <a:rPr lang="en-CA" sz="1200" b="1" i="0" u="none" strike="noStrike" baseline="0">
                <a:solidFill>
                  <a:srgbClr val="000000"/>
                </a:solidFill>
                <a:latin typeface="Arial"/>
                <a:cs typeface="Arial"/>
              </a:rPr>
              <a:t> Bitumen Value Based on WCS Pricing, $US/bbl</a:t>
            </a:r>
          </a:p>
        </c:rich>
      </c:tx>
      <c:layout>
        <c:manualLayout>
          <c:xMode val="edge"/>
          <c:yMode val="edge"/>
          <c:x val="0.10960537149351177"/>
          <c:y val="0.1248598992693481"/>
        </c:manualLayout>
      </c:layout>
      <c:overlay val="0"/>
      <c:spPr>
        <a:noFill/>
        <a:ln w="25400">
          <a:noFill/>
        </a:ln>
      </c:spPr>
    </c:title>
    <c:autoTitleDeleted val="0"/>
    <c:plotArea>
      <c:layout>
        <c:manualLayout>
          <c:layoutTarget val="inner"/>
          <c:xMode val="edge"/>
          <c:yMode val="edge"/>
          <c:x val="0.20683583027473837"/>
          <c:y val="0.29696418449532697"/>
          <c:w val="0.65586404300793111"/>
          <c:h val="0.49943976483304992"/>
        </c:manualLayout>
      </c:layout>
      <c:lineChart>
        <c:grouping val="standard"/>
        <c:varyColors val="0"/>
        <c:ser>
          <c:idx val="1"/>
          <c:order val="0"/>
          <c:tx>
            <c:strRef>
              <c:f>'Inputs &amp; Results'!$K$12</c:f>
              <c:strCache>
                <c:ptCount val="1"/>
                <c:pt idx="0">
                  <c:v> Bitumen @ Hardisty</c:v>
                </c:pt>
              </c:strCache>
            </c:strRef>
          </c:tx>
          <c:spPr>
            <a:ln w="38100">
              <a:solidFill>
                <a:srgbClr val="FF00FF"/>
              </a:solidFill>
              <a:prstDash val="solid"/>
            </a:ln>
          </c:spPr>
          <c:marker>
            <c:symbol val="star"/>
            <c:size val="5"/>
            <c:spPr>
              <a:noFill/>
              <a:ln>
                <a:solidFill>
                  <a:srgbClr val="000000"/>
                </a:solidFill>
                <a:prstDash val="solid"/>
              </a:ln>
            </c:spPr>
          </c:marker>
          <c:cat>
            <c:strRef>
              <c:f>'Inputs &amp; Results'!$B$14:$B$25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'Inputs &amp; Results'!$L$14:$L$25</c:f>
              <c:numCache>
                <c:formatCode>0.00</c:formatCode>
                <c:ptCount val="12"/>
                <c:pt idx="0">
                  <c:v>23.07</c:v>
                </c:pt>
                <c:pt idx="1">
                  <c:v>14.74</c:v>
                </c:pt>
                <c:pt idx="2">
                  <c:v>3.36</c:v>
                </c:pt>
                <c:pt idx="3">
                  <c:v>-5.43</c:v>
                </c:pt>
                <c:pt idx="4">
                  <c:v>10.72</c:v>
                </c:pt>
                <c:pt idx="5">
                  <c:v>32.369999999999997</c:v>
                </c:pt>
                <c:pt idx="6">
                  <c:v>29.65</c:v>
                </c:pt>
                <c:pt idx="7">
                  <c:v>32.29</c:v>
                </c:pt>
                <c:pt idx="8">
                  <c:v>23.9</c:v>
                </c:pt>
                <c:pt idx="9">
                  <c:v>27.23</c:v>
                </c:pt>
                <c:pt idx="10">
                  <c:v>25.45</c:v>
                </c:pt>
                <c:pt idx="11">
                  <c:v>31.24</c:v>
                </c:pt>
              </c:numCache>
            </c:numRef>
          </c:val>
          <c:smooth val="0"/>
          <c:extLst>
            <c:ext xmlns:c16="http://schemas.microsoft.com/office/drawing/2014/chart" uri="{C3380CC4-5D6E-409C-BE32-E72D297353CC}">
              <c16:uniqueId val="{00000000-CD47-4186-B330-AA5D21FFFBFE}"/>
            </c:ext>
          </c:extLst>
        </c:ser>
        <c:dLbls>
          <c:showLegendKey val="0"/>
          <c:showVal val="0"/>
          <c:showCatName val="0"/>
          <c:showSerName val="0"/>
          <c:showPercent val="0"/>
          <c:showBubbleSize val="0"/>
        </c:dLbls>
        <c:marker val="1"/>
        <c:smooth val="0"/>
        <c:axId val="195993984"/>
        <c:axId val="195995904"/>
      </c:lineChart>
      <c:catAx>
        <c:axId val="195993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195995904"/>
        <c:crossesAt val="-20"/>
        <c:auto val="1"/>
        <c:lblAlgn val="ctr"/>
        <c:lblOffset val="100"/>
        <c:tickLblSkip val="1"/>
        <c:tickMarkSkip val="1"/>
        <c:noMultiLvlLbl val="0"/>
      </c:catAx>
      <c:valAx>
        <c:axId val="195995904"/>
        <c:scaling>
          <c:orientation val="minMax"/>
          <c:max val="120"/>
        </c:scaling>
        <c:delete val="0"/>
        <c:axPos val="l"/>
        <c:majorGridlines>
          <c:spPr>
            <a:ln w="3175">
              <a:solidFill>
                <a:srgbClr val="000000"/>
              </a:solidFill>
              <a:prstDash val="solid"/>
            </a:ln>
          </c:spPr>
        </c:majorGridlines>
        <c:title>
          <c:tx>
            <c:rich>
              <a:bodyPr/>
              <a:lstStyle/>
              <a:p>
                <a:pPr>
                  <a:defRPr sz="1075" b="1" i="0" u="none" strike="noStrike" baseline="0">
                    <a:solidFill>
                      <a:srgbClr val="000000"/>
                    </a:solidFill>
                    <a:latin typeface="Arial"/>
                    <a:ea typeface="Arial"/>
                    <a:cs typeface="Arial"/>
                  </a:defRPr>
                </a:pPr>
                <a:r>
                  <a:rPr lang="en-CA"/>
                  <a:t>Bitumen Value @ Hardisty
 $US/bbl</a:t>
                </a:r>
              </a:p>
            </c:rich>
          </c:tx>
          <c:layout>
            <c:manualLayout>
              <c:xMode val="edge"/>
              <c:yMode val="edge"/>
              <c:x val="3.7124380071047819E-2"/>
              <c:y val="0.23622153649712707"/>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195993984"/>
        <c:crosses val="autoZero"/>
        <c:crossBetween val="midCat"/>
      </c:valAx>
      <c:spPr>
        <a:solidFill>
          <a:srgbClr val="A0E0E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en-CA" sz="1200" b="1" i="0" u="none" strike="noStrike" baseline="0">
                <a:solidFill>
                  <a:srgbClr val="000000"/>
                </a:solidFill>
                <a:latin typeface="Arial"/>
                <a:cs typeface="Arial"/>
              </a:rPr>
              <a:t>Monthly </a:t>
            </a:r>
            <a:r>
              <a:rPr lang="en-CA" sz="1200" b="1" i="0" u="sng" strike="noStrike" baseline="0">
                <a:solidFill>
                  <a:srgbClr val="000000"/>
                </a:solidFill>
                <a:latin typeface="Arial"/>
                <a:cs typeface="Arial"/>
              </a:rPr>
              <a:t>Hardisty</a:t>
            </a:r>
            <a:r>
              <a:rPr lang="en-CA" sz="1200" b="1" i="0" u="none" strike="noStrike" baseline="0">
                <a:solidFill>
                  <a:srgbClr val="000000"/>
                </a:solidFill>
                <a:latin typeface="Arial"/>
                <a:cs typeface="Arial"/>
              </a:rPr>
              <a:t> Bitumen Value Based on WCS Pricing, $Cdn/m</a:t>
            </a:r>
            <a:r>
              <a:rPr lang="en-CA" sz="1200" b="1" i="0" u="none" strike="noStrike" baseline="30000">
                <a:solidFill>
                  <a:srgbClr val="000000"/>
                </a:solidFill>
                <a:latin typeface="Arial"/>
                <a:cs typeface="Arial"/>
              </a:rPr>
              <a:t>3</a:t>
            </a:r>
          </a:p>
        </c:rich>
      </c:tx>
      <c:layout>
        <c:manualLayout>
          <c:xMode val="edge"/>
          <c:yMode val="edge"/>
          <c:x val="0.16063254979725472"/>
          <c:y val="0.11371213733418459"/>
        </c:manualLayout>
      </c:layout>
      <c:overlay val="0"/>
      <c:spPr>
        <a:noFill/>
        <a:ln w="25400">
          <a:noFill/>
        </a:ln>
      </c:spPr>
    </c:title>
    <c:autoTitleDeleted val="0"/>
    <c:plotArea>
      <c:layout>
        <c:manualLayout>
          <c:layoutTarget val="inner"/>
          <c:xMode val="edge"/>
          <c:yMode val="edge"/>
          <c:x val="0.1698114898842765"/>
          <c:y val="0.31772575250836121"/>
          <c:w val="0.69607412520131351"/>
          <c:h val="0.4682274247491639"/>
        </c:manualLayout>
      </c:layout>
      <c:lineChart>
        <c:grouping val="standard"/>
        <c:varyColors val="0"/>
        <c:ser>
          <c:idx val="1"/>
          <c:order val="0"/>
          <c:tx>
            <c:strRef>
              <c:f>'Inputs &amp; Results'!$K$12</c:f>
              <c:strCache>
                <c:ptCount val="1"/>
                <c:pt idx="0">
                  <c:v> Bitumen @ Hardisty</c:v>
                </c:pt>
              </c:strCache>
            </c:strRef>
          </c:tx>
          <c:spPr>
            <a:ln w="38100">
              <a:solidFill>
                <a:srgbClr val="FF00FF"/>
              </a:solidFill>
              <a:prstDash val="solid"/>
            </a:ln>
          </c:spPr>
          <c:marker>
            <c:symbol val="star"/>
            <c:size val="5"/>
            <c:spPr>
              <a:noFill/>
              <a:ln>
                <a:solidFill>
                  <a:srgbClr val="000000"/>
                </a:solidFill>
                <a:prstDash val="solid"/>
              </a:ln>
            </c:spPr>
          </c:marker>
          <c:cat>
            <c:strRef>
              <c:f>'Inputs &amp; Results'!$B$14:$B$25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'Inputs &amp; Results'!$K$14:$K$25</c:f>
              <c:numCache>
                <c:formatCode>0.00</c:formatCode>
                <c:ptCount val="12"/>
                <c:pt idx="0">
                  <c:v>189.97</c:v>
                </c:pt>
                <c:pt idx="1">
                  <c:v>123.25</c:v>
                </c:pt>
                <c:pt idx="2">
                  <c:v>29.51</c:v>
                </c:pt>
                <c:pt idx="3">
                  <c:v>-48.05</c:v>
                </c:pt>
                <c:pt idx="4">
                  <c:v>94.19</c:v>
                </c:pt>
                <c:pt idx="5">
                  <c:v>275.99</c:v>
                </c:pt>
                <c:pt idx="6">
                  <c:v>251.82</c:v>
                </c:pt>
                <c:pt idx="7">
                  <c:v>268.66000000000003</c:v>
                </c:pt>
                <c:pt idx="8">
                  <c:v>198.93</c:v>
                </c:pt>
                <c:pt idx="9">
                  <c:v>226.44</c:v>
                </c:pt>
                <c:pt idx="10">
                  <c:v>209.3</c:v>
                </c:pt>
                <c:pt idx="11">
                  <c:v>251.79</c:v>
                </c:pt>
              </c:numCache>
            </c:numRef>
          </c:val>
          <c:smooth val="0"/>
          <c:extLst>
            <c:ext xmlns:c16="http://schemas.microsoft.com/office/drawing/2014/chart" uri="{C3380CC4-5D6E-409C-BE32-E72D297353CC}">
              <c16:uniqueId val="{00000000-57FF-4D52-9D6B-D3898F903403}"/>
            </c:ext>
          </c:extLst>
        </c:ser>
        <c:dLbls>
          <c:showLegendKey val="0"/>
          <c:showVal val="0"/>
          <c:showCatName val="0"/>
          <c:showSerName val="0"/>
          <c:showPercent val="0"/>
          <c:showBubbleSize val="0"/>
        </c:dLbls>
        <c:marker val="1"/>
        <c:smooth val="0"/>
        <c:axId val="196007808"/>
        <c:axId val="209862656"/>
      </c:lineChart>
      <c:catAx>
        <c:axId val="196007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09862656"/>
        <c:crossesAt val="-20"/>
        <c:auto val="1"/>
        <c:lblAlgn val="ctr"/>
        <c:lblOffset val="100"/>
        <c:tickLblSkip val="1"/>
        <c:tickMarkSkip val="1"/>
        <c:noMultiLvlLbl val="0"/>
      </c:catAx>
      <c:valAx>
        <c:axId val="209862656"/>
        <c:scaling>
          <c:orientation val="minMax"/>
          <c:max val="7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en-CA" sz="1100" b="1" i="0" u="none" strike="noStrike" baseline="0">
                    <a:solidFill>
                      <a:srgbClr val="000000"/>
                    </a:solidFill>
                    <a:latin typeface="Arial"/>
                    <a:cs typeface="Arial"/>
                  </a:rPr>
                  <a:t>Bitumen Value @ Hardisty</a:t>
                </a:r>
              </a:p>
              <a:p>
                <a:pPr>
                  <a:defRPr sz="1100" b="0" i="0" u="none" strike="noStrike" baseline="0">
                    <a:solidFill>
                      <a:srgbClr val="000000"/>
                    </a:solidFill>
                    <a:latin typeface="Calibri"/>
                    <a:ea typeface="Calibri"/>
                    <a:cs typeface="Calibri"/>
                  </a:defRPr>
                </a:pPr>
                <a:endParaRPr lang="en-CA" sz="1100" b="1"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en-CA" sz="1100" b="1" i="0" u="none" strike="noStrike" baseline="0">
                    <a:solidFill>
                      <a:srgbClr val="000000"/>
                    </a:solidFill>
                    <a:latin typeface="Arial"/>
                    <a:cs typeface="Arial"/>
                  </a:rPr>
                  <a:t> $Cdn/m</a:t>
                </a:r>
                <a:r>
                  <a:rPr lang="en-CA" sz="1100" b="1" i="0" u="none" strike="noStrike" baseline="30000">
                    <a:solidFill>
                      <a:srgbClr val="000000"/>
                    </a:solidFill>
                    <a:latin typeface="Arial"/>
                    <a:cs typeface="Arial"/>
                  </a:rPr>
                  <a:t>3</a:t>
                </a:r>
              </a:p>
            </c:rich>
          </c:tx>
          <c:layout>
            <c:manualLayout>
              <c:xMode val="edge"/>
              <c:yMode val="edge"/>
              <c:x val="7.6490438695163109E-3"/>
              <c:y val="0.24080265304674756"/>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96007808"/>
        <c:crosses val="autoZero"/>
        <c:crossBetween val="midCat"/>
      </c:valAx>
      <c:spPr>
        <a:solidFill>
          <a:srgbClr val="A0E0E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333375</xdr:colOff>
      <xdr:row>26</xdr:row>
      <xdr:rowOff>142875</xdr:rowOff>
    </xdr:from>
    <xdr:to>
      <xdr:col>13</xdr:col>
      <xdr:colOff>628650</xdr:colOff>
      <xdr:row>44</xdr:row>
      <xdr:rowOff>47625</xdr:rowOff>
    </xdr:to>
    <xdr:graphicFrame macro="">
      <xdr:nvGraphicFramePr>
        <xdr:cNvPr id="708832" name="Chart 3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26</xdr:row>
      <xdr:rowOff>152400</xdr:rowOff>
    </xdr:from>
    <xdr:to>
      <xdr:col>7</xdr:col>
      <xdr:colOff>114300</xdr:colOff>
      <xdr:row>44</xdr:row>
      <xdr:rowOff>57150</xdr:rowOff>
    </xdr:to>
    <xdr:graphicFrame macro="">
      <xdr:nvGraphicFramePr>
        <xdr:cNvPr id="708833" name="Chart 3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415290</xdr:colOff>
      <xdr:row>27</xdr:row>
      <xdr:rowOff>79375</xdr:rowOff>
    </xdr:from>
    <xdr:to>
      <xdr:col>4</xdr:col>
      <xdr:colOff>626906</xdr:colOff>
      <xdr:row>28</xdr:row>
      <xdr:rowOff>106537</xdr:rowOff>
    </xdr:to>
    <xdr:sp macro="" textlink="'Inputs &amp; Results'!$B$13">
      <xdr:nvSpPr>
        <xdr:cNvPr id="1333" name="Text Box 309"/>
        <xdr:cNvSpPr txBox="1">
          <a:spLocks noChangeArrowheads="1" noTextEdit="1"/>
        </xdr:cNvSpPr>
      </xdr:nvSpPr>
      <xdr:spPr bwMode="auto">
        <a:xfrm>
          <a:off x="2815590" y="5730875"/>
          <a:ext cx="1037116" cy="192262"/>
        </a:xfrm>
        <a:prstGeom prst="rect">
          <a:avLst/>
        </a:prstGeom>
        <a:noFill/>
        <a:ln w="9525">
          <a:noFill/>
          <a:miter lim="800000"/>
          <a:headEnd/>
          <a:tailEnd/>
        </a:ln>
      </xdr:spPr>
      <xdr:txBody>
        <a:bodyPr vertOverflow="clip" wrap="square" lIns="0" tIns="27432" rIns="36576" bIns="27432" anchor="ctr" upright="1"/>
        <a:lstStyle/>
        <a:p>
          <a:pPr algn="r" rtl="0">
            <a:defRPr sz="1000"/>
          </a:pPr>
          <a:fld id="{4ACE35F1-1848-4BCE-9588-B7BC9712D9F6}" type="TxLink">
            <a:rPr lang="en-US" sz="1200" b="1" i="0" u="none" strike="noStrike" baseline="0">
              <a:solidFill>
                <a:srgbClr val="000000"/>
              </a:solidFill>
              <a:latin typeface="Arial"/>
              <a:cs typeface="Arial"/>
            </a:rPr>
            <a:pPr algn="r" rtl="0">
              <a:defRPr sz="1000"/>
            </a:pPr>
            <a:t>2020</a:t>
          </a:fld>
          <a:endParaRPr lang="en-CA" sz="1200" b="1" i="0" u="none" strike="noStrike" baseline="0">
            <a:solidFill>
              <a:srgbClr val="000000"/>
            </a:solidFill>
            <a:latin typeface="Arial"/>
            <a:cs typeface="Arial"/>
          </a:endParaRPr>
        </a:p>
      </xdr:txBody>
    </xdr:sp>
    <xdr:clientData/>
  </xdr:twoCellAnchor>
  <xdr:twoCellAnchor>
    <xdr:from>
      <xdr:col>9</xdr:col>
      <xdr:colOff>963930</xdr:colOff>
      <xdr:row>27</xdr:row>
      <xdr:rowOff>83820</xdr:rowOff>
    </xdr:from>
    <xdr:to>
      <xdr:col>10</xdr:col>
      <xdr:colOff>529669</xdr:colOff>
      <xdr:row>28</xdr:row>
      <xdr:rowOff>112395</xdr:rowOff>
    </xdr:to>
    <xdr:sp macro="" textlink="'Inputs &amp; Results'!$B$13">
      <xdr:nvSpPr>
        <xdr:cNvPr id="1334" name="Text Box 310"/>
        <xdr:cNvSpPr txBox="1">
          <a:spLocks noChangeArrowheads="1" noTextEdit="1"/>
        </xdr:cNvSpPr>
      </xdr:nvSpPr>
      <xdr:spPr bwMode="auto">
        <a:xfrm>
          <a:off x="8715375" y="5686425"/>
          <a:ext cx="704850" cy="190500"/>
        </a:xfrm>
        <a:prstGeom prst="rect">
          <a:avLst/>
        </a:prstGeom>
        <a:noFill/>
        <a:ln w="9525">
          <a:noFill/>
          <a:miter lim="800000"/>
          <a:headEnd/>
          <a:tailEnd/>
        </a:ln>
      </xdr:spPr>
      <xdr:txBody>
        <a:bodyPr vertOverflow="clip" wrap="square" lIns="36576" tIns="27432" rIns="36576" bIns="27432" anchor="ctr" upright="1"/>
        <a:lstStyle/>
        <a:p>
          <a:pPr algn="ctr" rtl="0">
            <a:defRPr sz="1000"/>
          </a:pPr>
          <a:fld id="{5EFB9E70-DBD1-4AAF-B93D-9D25A6CE06E2}" type="TxLink">
            <a:rPr lang="en-CA" sz="1200" b="1" i="0" u="none" strike="noStrike" baseline="0">
              <a:solidFill>
                <a:srgbClr val="000000"/>
              </a:solidFill>
              <a:latin typeface="Arial"/>
              <a:cs typeface="Arial"/>
            </a:rPr>
            <a:pPr algn="ctr" rtl="0">
              <a:defRPr sz="1000"/>
            </a:pPr>
            <a:t>2020</a:t>
          </a:fld>
          <a:endParaRPr lang="en-CA" sz="12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38</xdr:row>
      <xdr:rowOff>0</xdr:rowOff>
    </xdr:from>
    <xdr:to>
      <xdr:col>14</xdr:col>
      <xdr:colOff>314325</xdr:colOff>
      <xdr:row>78</xdr:row>
      <xdr:rowOff>19050</xdr:rowOff>
    </xdr:to>
    <xdr:pic>
      <xdr:nvPicPr>
        <xdr:cNvPr id="93890"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6153150"/>
          <a:ext cx="8239125" cy="649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14</xdr:col>
      <xdr:colOff>314325</xdr:colOff>
      <xdr:row>35</xdr:row>
      <xdr:rowOff>152400</xdr:rowOff>
    </xdr:to>
    <xdr:pic>
      <xdr:nvPicPr>
        <xdr:cNvPr id="93891"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 y="0"/>
          <a:ext cx="8239125" cy="581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ne2.ca/" TargetMode="External"/><Relationship Id="rId1" Type="http://schemas.openxmlformats.org/officeDocument/2006/relationships/hyperlink" Target="http://www.ngx.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J32"/>
  <sheetViews>
    <sheetView showGridLines="0" topLeftCell="A13" zoomScaleNormal="100" workbookViewId="0">
      <selection activeCell="B6" sqref="B6:J6"/>
    </sheetView>
  </sheetViews>
  <sheetFormatPr defaultRowHeight="12.75" x14ac:dyDescent="0.2"/>
  <sheetData>
    <row r="2" spans="2:10" ht="15.75" x14ac:dyDescent="0.25">
      <c r="B2" s="174" t="s">
        <v>127</v>
      </c>
      <c r="C2" s="174"/>
      <c r="D2" s="174"/>
      <c r="E2" s="174"/>
      <c r="F2" s="174"/>
      <c r="G2" s="174"/>
      <c r="H2" s="174"/>
      <c r="I2" s="174"/>
      <c r="J2" s="174"/>
    </row>
    <row r="3" spans="2:10" ht="15" x14ac:dyDescent="0.2">
      <c r="B3" s="175"/>
      <c r="C3" s="175"/>
      <c r="D3" s="175"/>
      <c r="E3" s="175"/>
      <c r="F3" s="175"/>
      <c r="G3" s="175"/>
      <c r="H3" s="175"/>
      <c r="I3" s="175"/>
      <c r="J3" s="175"/>
    </row>
    <row r="4" spans="2:10" ht="138" customHeight="1" x14ac:dyDescent="0.2">
      <c r="B4" s="176" t="s">
        <v>129</v>
      </c>
      <c r="C4" s="176"/>
      <c r="D4" s="176"/>
      <c r="E4" s="176"/>
      <c r="F4" s="176"/>
      <c r="G4" s="176"/>
      <c r="H4" s="176"/>
      <c r="I4" s="176"/>
      <c r="J4" s="176"/>
    </row>
    <row r="5" spans="2:10" ht="12.75" customHeight="1" x14ac:dyDescent="0.2">
      <c r="B5" s="159"/>
      <c r="C5" s="159"/>
      <c r="D5" s="159"/>
      <c r="E5" s="159"/>
      <c r="F5" s="159"/>
      <c r="G5" s="159"/>
      <c r="H5" s="159"/>
      <c r="I5" s="159"/>
      <c r="J5" s="159"/>
    </row>
    <row r="6" spans="2:10" ht="61.5" customHeight="1" x14ac:dyDescent="0.2">
      <c r="B6" s="176" t="s">
        <v>131</v>
      </c>
      <c r="C6" s="176"/>
      <c r="D6" s="176"/>
      <c r="E6" s="176"/>
      <c r="F6" s="176"/>
      <c r="G6" s="176"/>
      <c r="H6" s="176"/>
      <c r="I6" s="176"/>
      <c r="J6" s="176"/>
    </row>
    <row r="7" spans="2:10" ht="15" x14ac:dyDescent="0.2">
      <c r="B7" s="175"/>
      <c r="C7" s="175"/>
      <c r="D7" s="175"/>
      <c r="E7" s="175"/>
      <c r="F7" s="175"/>
      <c r="G7" s="175"/>
      <c r="H7" s="175"/>
      <c r="I7" s="175"/>
      <c r="J7" s="175"/>
    </row>
    <row r="8" spans="2:10" ht="15.75" x14ac:dyDescent="0.25">
      <c r="B8" s="174" t="s">
        <v>126</v>
      </c>
      <c r="C8" s="174"/>
      <c r="D8" s="174"/>
      <c r="E8" s="174"/>
      <c r="F8" s="174"/>
      <c r="G8" s="174"/>
      <c r="H8" s="174"/>
      <c r="I8" s="174"/>
      <c r="J8" s="174"/>
    </row>
    <row r="9" spans="2:10" ht="15" x14ac:dyDescent="0.2">
      <c r="B9" s="160"/>
      <c r="C9" s="160"/>
      <c r="D9" s="160"/>
      <c r="E9" s="160"/>
      <c r="F9" s="160"/>
      <c r="G9" s="160"/>
      <c r="H9" s="160"/>
      <c r="I9" s="160"/>
      <c r="J9" s="160"/>
    </row>
    <row r="10" spans="2:10" ht="75" customHeight="1" x14ac:dyDescent="0.2">
      <c r="B10" s="177" t="s">
        <v>132</v>
      </c>
      <c r="C10" s="177"/>
      <c r="D10" s="177"/>
      <c r="E10" s="177"/>
      <c r="F10" s="177"/>
      <c r="G10" s="177"/>
      <c r="H10" s="177"/>
      <c r="I10" s="177"/>
      <c r="J10" s="177"/>
    </row>
    <row r="11" spans="2:10" ht="15" x14ac:dyDescent="0.2">
      <c r="B11" s="175"/>
      <c r="C11" s="175"/>
      <c r="D11" s="175"/>
      <c r="E11" s="175"/>
      <c r="F11" s="175"/>
      <c r="G11" s="175"/>
      <c r="H11" s="175"/>
      <c r="I11" s="175"/>
      <c r="J11" s="175"/>
    </row>
    <row r="12" spans="2:10" ht="60" customHeight="1" x14ac:dyDescent="0.2">
      <c r="B12" s="177" t="s">
        <v>108</v>
      </c>
      <c r="C12" s="177"/>
      <c r="D12" s="177"/>
      <c r="E12" s="177"/>
      <c r="F12" s="177"/>
      <c r="G12" s="177"/>
      <c r="H12" s="177"/>
      <c r="I12" s="177"/>
      <c r="J12" s="177"/>
    </row>
    <row r="13" spans="2:10" ht="15" x14ac:dyDescent="0.2">
      <c r="B13" s="175"/>
      <c r="C13" s="175"/>
      <c r="D13" s="175"/>
      <c r="E13" s="175"/>
      <c r="F13" s="175"/>
      <c r="G13" s="175"/>
      <c r="H13" s="175"/>
      <c r="I13" s="175"/>
      <c r="J13" s="175"/>
    </row>
    <row r="14" spans="2:10" ht="30" customHeight="1" x14ac:dyDescent="0.2">
      <c r="B14" s="177" t="s">
        <v>109</v>
      </c>
      <c r="C14" s="177"/>
      <c r="D14" s="177"/>
      <c r="E14" s="177"/>
      <c r="F14" s="177"/>
      <c r="G14" s="177"/>
      <c r="H14" s="177"/>
      <c r="I14" s="177"/>
      <c r="J14" s="177"/>
    </row>
    <row r="15" spans="2:10" ht="15" x14ac:dyDescent="0.2">
      <c r="B15" s="175"/>
      <c r="C15" s="175"/>
      <c r="D15" s="175"/>
      <c r="E15" s="175"/>
      <c r="F15" s="175"/>
      <c r="G15" s="175"/>
      <c r="H15" s="175"/>
      <c r="I15" s="175"/>
      <c r="J15" s="175"/>
    </row>
    <row r="16" spans="2:10" ht="15" x14ac:dyDescent="0.2">
      <c r="B16" s="177" t="s">
        <v>133</v>
      </c>
      <c r="C16" s="177"/>
      <c r="D16" s="177"/>
      <c r="E16" s="177"/>
      <c r="F16" s="177"/>
      <c r="G16" s="177"/>
      <c r="H16" s="177"/>
      <c r="I16" s="177"/>
      <c r="J16" s="177"/>
    </row>
    <row r="17" spans="2:10" ht="15" customHeight="1" x14ac:dyDescent="0.2">
      <c r="B17" s="177"/>
      <c r="C17" s="177"/>
      <c r="D17" s="177"/>
      <c r="E17" s="177"/>
      <c r="F17" s="177"/>
      <c r="G17" s="177"/>
      <c r="H17" s="177"/>
      <c r="I17" s="177"/>
      <c r="J17" s="177"/>
    </row>
    <row r="18" spans="2:10" ht="15" x14ac:dyDescent="0.2">
      <c r="B18" s="177" t="s">
        <v>130</v>
      </c>
      <c r="C18" s="177"/>
      <c r="D18" s="177"/>
      <c r="E18" s="177"/>
      <c r="F18" s="177"/>
      <c r="G18" s="177"/>
      <c r="H18" s="177"/>
      <c r="I18" s="177"/>
      <c r="J18" s="177"/>
    </row>
    <row r="19" spans="2:10" ht="15" customHeight="1" x14ac:dyDescent="0.2">
      <c r="B19" s="177"/>
      <c r="C19" s="177"/>
      <c r="D19" s="177"/>
      <c r="E19" s="177"/>
      <c r="F19" s="177"/>
      <c r="G19" s="177"/>
      <c r="H19" s="177"/>
      <c r="I19" s="177"/>
      <c r="J19" s="177"/>
    </row>
    <row r="20" spans="2:10" ht="15" x14ac:dyDescent="0.2">
      <c r="B20" s="177" t="s">
        <v>128</v>
      </c>
      <c r="C20" s="177"/>
      <c r="D20" s="177"/>
      <c r="E20" s="177"/>
      <c r="F20" s="177"/>
      <c r="G20" s="177"/>
      <c r="H20" s="177"/>
      <c r="I20" s="177"/>
      <c r="J20" s="177"/>
    </row>
    <row r="21" spans="2:10" x14ac:dyDescent="0.2">
      <c r="B21" s="178"/>
      <c r="C21" s="178"/>
      <c r="D21" s="178"/>
      <c r="E21" s="178"/>
      <c r="F21" s="178"/>
      <c r="G21" s="178"/>
      <c r="H21" s="178"/>
      <c r="I21" s="178"/>
      <c r="J21" s="178"/>
    </row>
    <row r="22" spans="2:10" x14ac:dyDescent="0.2">
      <c r="B22" s="178"/>
      <c r="C22" s="178"/>
      <c r="D22" s="178"/>
      <c r="E22" s="178"/>
      <c r="F22" s="178"/>
      <c r="G22" s="178"/>
      <c r="H22" s="178"/>
      <c r="I22" s="178"/>
      <c r="J22" s="178"/>
    </row>
    <row r="23" spans="2:10" x14ac:dyDescent="0.2">
      <c r="B23" s="178"/>
      <c r="C23" s="178"/>
      <c r="D23" s="178"/>
      <c r="E23" s="178"/>
      <c r="F23" s="178"/>
      <c r="G23" s="178"/>
      <c r="H23" s="178"/>
      <c r="I23" s="178"/>
      <c r="J23" s="178"/>
    </row>
    <row r="24" spans="2:10" x14ac:dyDescent="0.2">
      <c r="B24" s="178"/>
      <c r="C24" s="178"/>
      <c r="D24" s="178"/>
      <c r="E24" s="178"/>
      <c r="F24" s="178"/>
      <c r="G24" s="178"/>
      <c r="H24" s="178"/>
      <c r="I24" s="178"/>
      <c r="J24" s="178"/>
    </row>
    <row r="25" spans="2:10" x14ac:dyDescent="0.2">
      <c r="B25" s="178"/>
      <c r="C25" s="178"/>
      <c r="D25" s="178"/>
      <c r="E25" s="178"/>
      <c r="F25" s="178"/>
      <c r="G25" s="178"/>
      <c r="H25" s="178"/>
      <c r="I25" s="178"/>
      <c r="J25" s="178"/>
    </row>
    <row r="26" spans="2:10" x14ac:dyDescent="0.2">
      <c r="B26" s="178"/>
      <c r="C26" s="178"/>
      <c r="D26" s="178"/>
      <c r="E26" s="178"/>
      <c r="F26" s="178"/>
      <c r="G26" s="178"/>
      <c r="H26" s="178"/>
      <c r="I26" s="178"/>
      <c r="J26" s="178"/>
    </row>
    <row r="27" spans="2:10" x14ac:dyDescent="0.2">
      <c r="B27" s="178"/>
      <c r="C27" s="178"/>
      <c r="D27" s="178"/>
      <c r="E27" s="178"/>
      <c r="F27" s="178"/>
      <c r="G27" s="178"/>
      <c r="H27" s="178"/>
      <c r="I27" s="178"/>
      <c r="J27" s="178"/>
    </row>
    <row r="28" spans="2:10" x14ac:dyDescent="0.2">
      <c r="B28" s="179"/>
      <c r="C28" s="178"/>
      <c r="D28" s="178"/>
      <c r="E28" s="178"/>
      <c r="F28" s="178"/>
      <c r="G28" s="178"/>
      <c r="H28" s="178"/>
      <c r="I28" s="178"/>
      <c r="J28" s="178"/>
    </row>
    <row r="29" spans="2:10" x14ac:dyDescent="0.2">
      <c r="B29" s="178"/>
      <c r="C29" s="178"/>
      <c r="D29" s="178"/>
      <c r="E29" s="178"/>
      <c r="F29" s="178"/>
      <c r="G29" s="178"/>
      <c r="H29" s="178"/>
      <c r="I29" s="178"/>
      <c r="J29" s="178"/>
    </row>
    <row r="30" spans="2:10" x14ac:dyDescent="0.2">
      <c r="B30" s="178"/>
      <c r="C30" s="178"/>
      <c r="D30" s="178"/>
      <c r="E30" s="178"/>
      <c r="F30" s="178"/>
      <c r="G30" s="178"/>
      <c r="H30" s="178"/>
      <c r="I30" s="178"/>
      <c r="J30" s="178"/>
    </row>
    <row r="31" spans="2:10" x14ac:dyDescent="0.2">
      <c r="B31" s="178"/>
      <c r="C31" s="178"/>
      <c r="D31" s="178"/>
      <c r="E31" s="178"/>
      <c r="F31" s="178"/>
      <c r="G31" s="178"/>
      <c r="H31" s="178"/>
      <c r="I31" s="178"/>
      <c r="J31" s="178"/>
    </row>
    <row r="32" spans="2:10" x14ac:dyDescent="0.2">
      <c r="B32" s="178"/>
      <c r="C32" s="178"/>
      <c r="D32" s="178"/>
      <c r="E32" s="178"/>
      <c r="F32" s="178"/>
      <c r="G32" s="178"/>
      <c r="H32" s="178"/>
      <c r="I32" s="178"/>
      <c r="J32" s="178"/>
    </row>
  </sheetData>
  <sheetProtection password="E87C" sheet="1"/>
  <mergeCells count="29">
    <mergeCell ref="B32:J32"/>
    <mergeCell ref="B26:J26"/>
    <mergeCell ref="B27:J27"/>
    <mergeCell ref="B28:J28"/>
    <mergeCell ref="B29:J29"/>
    <mergeCell ref="B30:J30"/>
    <mergeCell ref="B31:J31"/>
    <mergeCell ref="B25:J25"/>
    <mergeCell ref="B11:J11"/>
    <mergeCell ref="B12:J12"/>
    <mergeCell ref="B13:J13"/>
    <mergeCell ref="B14:J14"/>
    <mergeCell ref="B15:J15"/>
    <mergeCell ref="B16:J16"/>
    <mergeCell ref="B17:J17"/>
    <mergeCell ref="B18:J18"/>
    <mergeCell ref="B19:J19"/>
    <mergeCell ref="B20:J20"/>
    <mergeCell ref="B21:J21"/>
    <mergeCell ref="B22:J22"/>
    <mergeCell ref="B23:J23"/>
    <mergeCell ref="B24:J24"/>
    <mergeCell ref="B2:J2"/>
    <mergeCell ref="B3:J3"/>
    <mergeCell ref="B4:J4"/>
    <mergeCell ref="B10:J10"/>
    <mergeCell ref="B6:J6"/>
    <mergeCell ref="B7:J7"/>
    <mergeCell ref="B8:J8"/>
  </mergeCells>
  <phoneticPr fontId="18" type="noConversion"/>
  <pageMargins left="0.75" right="0.75" top="1" bottom="1" header="0.5" footer="0.5"/>
  <pageSetup orientation="portrait" r:id="rId1"/>
  <headerFooter alignWithMargins="0">
    <oddFooter>&amp;L&amp;1#&amp;"Calibri"&amp;11&amp;K000000Classification: Protected 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1"/>
    <pageSetUpPr fitToPage="1"/>
  </sheetPr>
  <dimension ref="B2:M57"/>
  <sheetViews>
    <sheetView tabSelected="1" topLeftCell="A9" zoomScale="80" zoomScaleNormal="80" workbookViewId="0">
      <selection activeCell="H17" sqref="H17"/>
    </sheetView>
  </sheetViews>
  <sheetFormatPr defaultRowHeight="12.75" x14ac:dyDescent="0.2"/>
  <cols>
    <col min="1" max="1" width="3" customWidth="1"/>
    <col min="2" max="2" width="14" customWidth="1"/>
    <col min="3" max="3" width="18.85546875" bestFit="1" customWidth="1"/>
    <col min="4" max="4" width="12.28515625" bestFit="1" customWidth="1"/>
    <col min="5" max="5" width="19.85546875" customWidth="1"/>
    <col min="6" max="6" width="12.5703125" customWidth="1"/>
    <col min="7" max="7" width="17.7109375" customWidth="1"/>
    <col min="8" max="8" width="17" customWidth="1"/>
    <col min="9" max="9" width="21.28515625" customWidth="1"/>
    <col min="10" max="10" width="17.140625" customWidth="1"/>
    <col min="11" max="11" width="12.140625" customWidth="1"/>
    <col min="12" max="12" width="16.28515625" customWidth="1"/>
    <col min="13" max="13" width="11.5703125" customWidth="1"/>
    <col min="14" max="14" width="12.5703125" customWidth="1"/>
  </cols>
  <sheetData>
    <row r="2" spans="2:12" ht="23.25" x14ac:dyDescent="0.35">
      <c r="B2" s="182" t="s">
        <v>76</v>
      </c>
      <c r="C2" s="183"/>
      <c r="D2" s="183"/>
      <c r="E2" s="183"/>
      <c r="F2" s="183"/>
      <c r="G2" s="183"/>
      <c r="H2" s="183"/>
      <c r="I2" s="183"/>
      <c r="J2" s="183"/>
      <c r="K2" s="183"/>
      <c r="L2" s="183"/>
    </row>
    <row r="3" spans="2:12" ht="23.25" x14ac:dyDescent="0.35">
      <c r="B3" s="184" t="s">
        <v>88</v>
      </c>
      <c r="C3" s="185"/>
      <c r="D3" s="185"/>
      <c r="E3" s="185"/>
      <c r="F3" s="185"/>
      <c r="G3" s="185"/>
      <c r="H3" s="185"/>
      <c r="I3" s="185"/>
      <c r="J3" s="185"/>
      <c r="K3" s="185"/>
      <c r="L3" s="185"/>
    </row>
    <row r="6" spans="2:12" ht="18.75" x14ac:dyDescent="0.25">
      <c r="D6" s="82"/>
      <c r="E6" s="82"/>
      <c r="F6" s="82"/>
      <c r="G6" s="171">
        <v>4.34171</v>
      </c>
      <c r="H6" s="84" t="s">
        <v>134</v>
      </c>
      <c r="I6" s="82"/>
      <c r="J6" s="82"/>
      <c r="K6" s="82"/>
      <c r="L6" s="82"/>
    </row>
    <row r="7" spans="2:12" ht="18.75" x14ac:dyDescent="0.25">
      <c r="D7" s="82"/>
      <c r="E7" s="82"/>
      <c r="F7" s="82"/>
      <c r="G7" s="83">
        <v>12</v>
      </c>
      <c r="H7" s="84" t="s">
        <v>81</v>
      </c>
      <c r="I7" s="84"/>
      <c r="J7" s="85"/>
      <c r="K7" s="82"/>
      <c r="L7" s="82"/>
    </row>
    <row r="8" spans="2:12" ht="15" x14ac:dyDescent="0.2">
      <c r="D8" s="82"/>
      <c r="E8" s="82"/>
      <c r="F8" s="82"/>
      <c r="G8" s="82"/>
      <c r="H8" s="82"/>
      <c r="I8" s="82"/>
      <c r="J8" s="82"/>
      <c r="K8" s="82"/>
      <c r="L8" s="82"/>
    </row>
    <row r="9" spans="2:12" ht="18.75" x14ac:dyDescent="0.25">
      <c r="C9" s="81" t="s">
        <v>121</v>
      </c>
      <c r="F9" s="82"/>
      <c r="G9" s="82"/>
      <c r="H9" s="82"/>
      <c r="I9" s="86" t="s">
        <v>87</v>
      </c>
      <c r="J9" s="82"/>
      <c r="K9" s="82"/>
      <c r="L9" s="82"/>
    </row>
    <row r="10" spans="2:12" ht="19.5" thickBot="1" x14ac:dyDescent="0.3">
      <c r="C10" s="81" t="s">
        <v>94</v>
      </c>
      <c r="E10" s="86" t="s">
        <v>91</v>
      </c>
      <c r="F10" s="86" t="s">
        <v>86</v>
      </c>
      <c r="G10" s="86" t="s">
        <v>86</v>
      </c>
      <c r="H10" s="86" t="s">
        <v>78</v>
      </c>
      <c r="I10" s="86" t="s">
        <v>64</v>
      </c>
      <c r="J10" s="86" t="s">
        <v>87</v>
      </c>
      <c r="K10" s="82"/>
      <c r="L10" s="82"/>
    </row>
    <row r="11" spans="2:12" ht="17.25" thickTop="1" thickBot="1" x14ac:dyDescent="0.3">
      <c r="B11" s="82"/>
      <c r="C11" s="81" t="s">
        <v>74</v>
      </c>
      <c r="D11" s="82"/>
      <c r="E11" s="86" t="s">
        <v>60</v>
      </c>
      <c r="F11" s="81" t="s">
        <v>61</v>
      </c>
      <c r="G11" s="86" t="s">
        <v>75</v>
      </c>
      <c r="H11" s="81" t="s">
        <v>83</v>
      </c>
      <c r="I11" s="81" t="s">
        <v>0</v>
      </c>
      <c r="J11" s="86" t="s">
        <v>64</v>
      </c>
      <c r="K11" s="188" t="s">
        <v>57</v>
      </c>
      <c r="L11" s="189"/>
    </row>
    <row r="12" spans="2:12" ht="16.5" thickTop="1" x14ac:dyDescent="0.25">
      <c r="B12" s="82"/>
      <c r="C12" s="81" t="s">
        <v>1</v>
      </c>
      <c r="D12" s="81" t="s">
        <v>53</v>
      </c>
      <c r="E12" s="86" t="s">
        <v>2</v>
      </c>
      <c r="F12" s="81" t="s">
        <v>84</v>
      </c>
      <c r="G12" s="81" t="s">
        <v>62</v>
      </c>
      <c r="H12" s="81" t="s">
        <v>1</v>
      </c>
      <c r="I12" s="81" t="s">
        <v>2</v>
      </c>
      <c r="J12" s="81" t="s">
        <v>1</v>
      </c>
      <c r="K12" s="186" t="s">
        <v>58</v>
      </c>
      <c r="L12" s="187"/>
    </row>
    <row r="13" spans="2:12" ht="18.75" x14ac:dyDescent="0.25">
      <c r="B13" s="130">
        <v>2020</v>
      </c>
      <c r="C13" s="131" t="s">
        <v>89</v>
      </c>
      <c r="D13" s="81" t="s">
        <v>54</v>
      </c>
      <c r="E13" s="86" t="s">
        <v>55</v>
      </c>
      <c r="F13" s="81" t="s">
        <v>79</v>
      </c>
      <c r="G13" s="86" t="s">
        <v>55</v>
      </c>
      <c r="H13" s="131" t="s">
        <v>89</v>
      </c>
      <c r="I13" s="86" t="s">
        <v>80</v>
      </c>
      <c r="J13" s="131" t="s">
        <v>89</v>
      </c>
      <c r="K13" s="96" t="s">
        <v>80</v>
      </c>
      <c r="L13" s="93" t="s">
        <v>55</v>
      </c>
    </row>
    <row r="14" spans="2:12" ht="15.75" x14ac:dyDescent="0.25">
      <c r="B14" s="88" t="s">
        <v>4</v>
      </c>
      <c r="C14" s="156">
        <v>1015</v>
      </c>
      <c r="D14" s="89">
        <v>1.3087</v>
      </c>
      <c r="E14" s="90">
        <v>36.82</v>
      </c>
      <c r="F14" s="90">
        <v>1</v>
      </c>
      <c r="G14" s="90">
        <v>1.98</v>
      </c>
      <c r="H14" s="87">
        <v>920.5</v>
      </c>
      <c r="I14" s="90">
        <v>498.56</v>
      </c>
      <c r="J14" s="87">
        <v>736.2</v>
      </c>
      <c r="K14" s="91">
        <f>Jan_Cdn_Bitumen_Value</f>
        <v>189.97</v>
      </c>
      <c r="L14" s="94">
        <f>Jan_Bitumen_Value</f>
        <v>23.07</v>
      </c>
    </row>
    <row r="15" spans="2:12" ht="15.75" x14ac:dyDescent="0.25">
      <c r="B15" s="86" t="s">
        <v>5</v>
      </c>
      <c r="C15" s="170">
        <v>1015</v>
      </c>
      <c r="D15" s="132">
        <v>1.3286</v>
      </c>
      <c r="E15" s="133">
        <v>27.28</v>
      </c>
      <c r="F15" s="133">
        <v>1</v>
      </c>
      <c r="G15" s="133">
        <v>2.13</v>
      </c>
      <c r="H15" s="134">
        <v>919.1</v>
      </c>
      <c r="I15" s="133">
        <v>415.34</v>
      </c>
      <c r="J15" s="134">
        <v>723.9</v>
      </c>
      <c r="K15" s="91">
        <f>Feb_Cdn_Bitumen_Value</f>
        <v>123.25</v>
      </c>
      <c r="L15" s="94">
        <f>Feb_Bitumen_Value</f>
        <v>14.74</v>
      </c>
    </row>
    <row r="16" spans="2:12" ht="15.75" x14ac:dyDescent="0.25">
      <c r="B16" s="81" t="s">
        <v>6</v>
      </c>
      <c r="C16" s="170">
        <v>1015</v>
      </c>
      <c r="D16" s="132">
        <v>1.3953</v>
      </c>
      <c r="E16" s="133">
        <v>12.84</v>
      </c>
      <c r="F16" s="133">
        <v>1</v>
      </c>
      <c r="G16" s="133">
        <v>2.3199999999999998</v>
      </c>
      <c r="H16" s="134">
        <v>920.3</v>
      </c>
      <c r="I16" s="133">
        <v>253.6</v>
      </c>
      <c r="J16" s="134">
        <v>738.4</v>
      </c>
      <c r="K16" s="91">
        <f>Mar_Cdn_Bitumen_Value</f>
        <v>29.51</v>
      </c>
      <c r="L16" s="94">
        <f>Mar_Bitumen_Value</f>
        <v>3.36</v>
      </c>
    </row>
    <row r="17" spans="2:12" ht="15.75" x14ac:dyDescent="0.25">
      <c r="B17" s="81" t="s">
        <v>7</v>
      </c>
      <c r="C17" s="170">
        <v>1015</v>
      </c>
      <c r="D17" s="132">
        <v>1.4057999999999999</v>
      </c>
      <c r="E17" s="90">
        <v>3.5</v>
      </c>
      <c r="F17" s="90">
        <v>0.97</v>
      </c>
      <c r="G17" s="90">
        <v>2.27</v>
      </c>
      <c r="H17" s="87">
        <v>920.8</v>
      </c>
      <c r="I17" s="90">
        <v>165.75</v>
      </c>
      <c r="J17" s="87">
        <v>735.3</v>
      </c>
      <c r="K17" s="91">
        <f>Apr_Cdn_Bitumen_Value</f>
        <v>-48.05</v>
      </c>
      <c r="L17" s="94">
        <f>Apr_Bitumen_Value</f>
        <v>-5.43</v>
      </c>
    </row>
    <row r="18" spans="2:12" ht="15.75" x14ac:dyDescent="0.25">
      <c r="B18" s="81" t="s">
        <v>8</v>
      </c>
      <c r="C18" s="170">
        <v>1015</v>
      </c>
      <c r="D18" s="89">
        <v>1.397</v>
      </c>
      <c r="E18" s="133">
        <v>11.67</v>
      </c>
      <c r="F18" s="133">
        <v>0.99</v>
      </c>
      <c r="G18" s="133">
        <v>1.61</v>
      </c>
      <c r="H18" s="87">
        <v>925.6</v>
      </c>
      <c r="I18" s="90">
        <v>108.93</v>
      </c>
      <c r="J18" s="87">
        <v>730.1</v>
      </c>
      <c r="K18" s="91">
        <f>May_Cdn_Bitumen_Value</f>
        <v>94.19</v>
      </c>
      <c r="L18" s="94">
        <f>May_Bitumen_Value</f>
        <v>10.72</v>
      </c>
    </row>
    <row r="19" spans="2:12" ht="15.75" x14ac:dyDescent="0.25">
      <c r="B19" s="81" t="s">
        <v>9</v>
      </c>
      <c r="C19" s="170">
        <v>1015</v>
      </c>
      <c r="D19" s="132">
        <v>1.355</v>
      </c>
      <c r="E19" s="133">
        <v>33.97</v>
      </c>
      <c r="F19" s="133">
        <v>0.97</v>
      </c>
      <c r="G19" s="133">
        <v>1.22</v>
      </c>
      <c r="H19" s="134">
        <v>933.3</v>
      </c>
      <c r="I19" s="133">
        <v>305.31</v>
      </c>
      <c r="J19" s="134">
        <v>742.2</v>
      </c>
      <c r="K19" s="91">
        <f>Jun_Cdn_Bitumen_Value</f>
        <v>275.99</v>
      </c>
      <c r="L19" s="94">
        <f>Jun_Bitumen_Value</f>
        <v>32.369999999999997</v>
      </c>
    </row>
    <row r="20" spans="2:12" ht="15.75" x14ac:dyDescent="0.25">
      <c r="B20" s="81" t="s">
        <v>10</v>
      </c>
      <c r="C20" s="170">
        <v>1015</v>
      </c>
      <c r="D20" s="89">
        <v>1.3499000000000001</v>
      </c>
      <c r="E20" s="90">
        <v>32.5</v>
      </c>
      <c r="F20" s="133">
        <v>0.98</v>
      </c>
      <c r="G20" s="133">
        <v>0.73</v>
      </c>
      <c r="H20" s="87">
        <v>933.7</v>
      </c>
      <c r="I20" s="90">
        <v>317</v>
      </c>
      <c r="J20" s="87">
        <v>738.1</v>
      </c>
      <c r="K20" s="91">
        <f>Jul_Cdn_Bitumen_Value</f>
        <v>251.82</v>
      </c>
      <c r="L20" s="94">
        <f>Jul_Bitumen_Value</f>
        <v>29.65</v>
      </c>
    </row>
    <row r="21" spans="2:12" ht="15.75" x14ac:dyDescent="0.25">
      <c r="B21" s="88" t="s">
        <v>11</v>
      </c>
      <c r="C21" s="170">
        <v>1015</v>
      </c>
      <c r="D21" s="132">
        <v>1.3222</v>
      </c>
      <c r="E21" s="90">
        <v>34.6</v>
      </c>
      <c r="F21" s="133">
        <v>0.98</v>
      </c>
      <c r="G21" s="90">
        <v>0.48</v>
      </c>
      <c r="H21" s="87">
        <v>935.3</v>
      </c>
      <c r="I21" s="90">
        <v>317.82</v>
      </c>
      <c r="J21" s="87">
        <v>741.6</v>
      </c>
      <c r="K21" s="91">
        <f>Aug_Cdn_Bitumen_Value</f>
        <v>268.66000000000003</v>
      </c>
      <c r="L21" s="94">
        <f>Aug_Bitumen_Value</f>
        <v>32.29</v>
      </c>
    </row>
    <row r="22" spans="2:12" ht="15.75" x14ac:dyDescent="0.25">
      <c r="B22" s="81" t="s">
        <v>12</v>
      </c>
      <c r="C22" s="170">
        <v>1015</v>
      </c>
      <c r="D22" s="132">
        <v>1.3228</v>
      </c>
      <c r="E22" s="133">
        <v>28.43</v>
      </c>
      <c r="F22" s="133">
        <v>0.99</v>
      </c>
      <c r="G22" s="133">
        <v>0.52</v>
      </c>
      <c r="H22" s="134">
        <v>934.3</v>
      </c>
      <c r="I22" s="133">
        <v>310.56</v>
      </c>
      <c r="J22" s="134">
        <v>733.9</v>
      </c>
      <c r="K22" s="91">
        <f>Sep_Cdn_Bitumen_Value</f>
        <v>198.93</v>
      </c>
      <c r="L22" s="94">
        <f>Sep_Bitumen_Value</f>
        <v>23.9</v>
      </c>
    </row>
    <row r="23" spans="2:12" ht="15.75" x14ac:dyDescent="0.25">
      <c r="B23" s="81" t="s">
        <v>13</v>
      </c>
      <c r="C23" s="170">
        <v>1015</v>
      </c>
      <c r="D23" s="89">
        <v>1.3214999999999999</v>
      </c>
      <c r="E23" s="90">
        <v>31.17</v>
      </c>
      <c r="F23" s="133">
        <v>0.99</v>
      </c>
      <c r="G23" s="133">
        <v>0.68</v>
      </c>
      <c r="H23" s="87">
        <v>931.3</v>
      </c>
      <c r="I23" s="90">
        <v>316.67</v>
      </c>
      <c r="J23" s="87">
        <v>739.5</v>
      </c>
      <c r="K23" s="91">
        <f>Oct_Cdn_Bitumen_Value</f>
        <v>226.44</v>
      </c>
      <c r="L23" s="94">
        <f>Oct_Bitumen_Value</f>
        <v>27.23</v>
      </c>
    </row>
    <row r="24" spans="2:12" ht="15.75" x14ac:dyDescent="0.25">
      <c r="B24" s="81" t="s">
        <v>14</v>
      </c>
      <c r="C24" s="170">
        <v>1015</v>
      </c>
      <c r="D24" s="89">
        <v>1.3068</v>
      </c>
      <c r="E24" s="90">
        <v>31.57</v>
      </c>
      <c r="F24" s="133">
        <v>0.98</v>
      </c>
      <c r="G24" s="90">
        <v>0.89</v>
      </c>
      <c r="H24" s="87">
        <v>927.3</v>
      </c>
      <c r="I24" s="90">
        <v>345.46</v>
      </c>
      <c r="J24" s="87">
        <v>745.7</v>
      </c>
      <c r="K24" s="91">
        <f>Nov_Cdn_Bitumen_Value</f>
        <v>209.3</v>
      </c>
      <c r="L24" s="94">
        <f>Nov_Bitumen_Value</f>
        <v>25.45</v>
      </c>
    </row>
    <row r="25" spans="2:12" ht="16.5" thickBot="1" x14ac:dyDescent="0.3">
      <c r="B25" s="81" t="s">
        <v>15</v>
      </c>
      <c r="C25" s="170">
        <v>1015</v>
      </c>
      <c r="D25" s="89">
        <v>1.2807999999999999</v>
      </c>
      <c r="E25" s="90">
        <v>37.32</v>
      </c>
      <c r="F25" s="133">
        <v>0.98</v>
      </c>
      <c r="G25" s="90">
        <v>1.1200000000000001</v>
      </c>
      <c r="H25" s="87">
        <v>924</v>
      </c>
      <c r="I25" s="90">
        <v>382.72</v>
      </c>
      <c r="J25" s="87">
        <v>735.8</v>
      </c>
      <c r="K25" s="92">
        <f>Dec_Cdn_Bitumen_Value</f>
        <v>251.79</v>
      </c>
      <c r="L25" s="95">
        <f>Dec_Bitumen_Value</f>
        <v>31.24</v>
      </c>
    </row>
    <row r="26" spans="2:12" ht="15.75" thickTop="1" x14ac:dyDescent="0.2">
      <c r="B26" s="82"/>
      <c r="C26" s="82"/>
      <c r="D26" s="82"/>
      <c r="E26" s="82"/>
      <c r="F26" s="82"/>
      <c r="G26" s="82"/>
      <c r="H26" s="82"/>
      <c r="I26" s="82"/>
      <c r="J26" s="82"/>
      <c r="K26" s="82"/>
      <c r="L26" s="82"/>
    </row>
    <row r="31" spans="2:12" x14ac:dyDescent="0.2">
      <c r="J31" s="2"/>
      <c r="K31" s="2"/>
    </row>
    <row r="32" spans="2:12" x14ac:dyDescent="0.2">
      <c r="J32" s="2"/>
    </row>
    <row r="43" spans="2:13" x14ac:dyDescent="0.2">
      <c r="M43" s="2"/>
    </row>
    <row r="44" spans="2:13" x14ac:dyDescent="0.2">
      <c r="M44" s="2"/>
    </row>
    <row r="46" spans="2:13" ht="3" customHeight="1" x14ac:dyDescent="0.2"/>
    <row r="47" spans="2:13" ht="3" customHeight="1" x14ac:dyDescent="0.2"/>
    <row r="48" spans="2:13" ht="23.25" customHeight="1" x14ac:dyDescent="0.25">
      <c r="B48" s="180" t="s">
        <v>90</v>
      </c>
      <c r="C48" s="181"/>
      <c r="D48" s="181"/>
      <c r="E48" s="181"/>
      <c r="F48" s="190" t="str">
        <f>HYPERLINK("https://open.alberta.ca/opendata/bitumen-valuation-methodology-bvm-model-calculator")</f>
        <v>https://open.alberta.ca/opendata/bitumen-valuation-methodology-bvm-model-calculator</v>
      </c>
      <c r="G48" s="190"/>
      <c r="H48" s="190"/>
      <c r="I48" s="190"/>
      <c r="J48" s="190"/>
      <c r="K48" s="190"/>
    </row>
    <row r="49" spans="2:11" x14ac:dyDescent="0.2">
      <c r="B49" s="9" t="s">
        <v>77</v>
      </c>
    </row>
    <row r="50" spans="2:11" x14ac:dyDescent="0.2">
      <c r="B50" s="80" t="s">
        <v>93</v>
      </c>
      <c r="C50" s="9"/>
      <c r="D50" s="9"/>
    </row>
    <row r="51" spans="2:11" x14ac:dyDescent="0.2">
      <c r="B51" s="129" t="s">
        <v>104</v>
      </c>
      <c r="G51" s="157" t="s">
        <v>102</v>
      </c>
      <c r="K51" s="129"/>
    </row>
    <row r="52" spans="2:11" x14ac:dyDescent="0.2">
      <c r="B52" s="129" t="s">
        <v>105</v>
      </c>
      <c r="G52" s="157" t="s">
        <v>103</v>
      </c>
      <c r="K52" s="129"/>
    </row>
    <row r="53" spans="2:11" x14ac:dyDescent="0.2">
      <c r="B53" s="80" t="s">
        <v>107</v>
      </c>
      <c r="C53" s="9"/>
      <c r="D53" s="9"/>
    </row>
    <row r="54" spans="2:11" x14ac:dyDescent="0.2">
      <c r="B54" s="80" t="s">
        <v>123</v>
      </c>
      <c r="C54" s="9"/>
      <c r="D54" s="9"/>
    </row>
    <row r="55" spans="2:11" x14ac:dyDescent="0.2">
      <c r="B55" s="80" t="s">
        <v>106</v>
      </c>
      <c r="C55" s="9"/>
      <c r="D55" s="9"/>
      <c r="E55" s="9"/>
    </row>
    <row r="56" spans="2:11" x14ac:dyDescent="0.2">
      <c r="B56" s="80" t="s">
        <v>95</v>
      </c>
    </row>
    <row r="57" spans="2:11" x14ac:dyDescent="0.2">
      <c r="B57" s="80" t="s">
        <v>122</v>
      </c>
    </row>
  </sheetData>
  <protectedRanges>
    <protectedRange sqref="M1:N50" name="Range6"/>
    <protectedRange sqref="B26:L45" name="Range5"/>
    <protectedRange sqref="B13" name="Range3"/>
    <protectedRange sqref="C14:J25" name="Range2"/>
  </protectedRanges>
  <mergeCells count="6">
    <mergeCell ref="B48:E48"/>
    <mergeCell ref="B2:L2"/>
    <mergeCell ref="B3:L3"/>
    <mergeCell ref="K12:L12"/>
    <mergeCell ref="K11:L11"/>
    <mergeCell ref="F48:K48"/>
  </mergeCells>
  <phoneticPr fontId="18" type="noConversion"/>
  <hyperlinks>
    <hyperlink ref="G51" r:id="rId1"/>
    <hyperlink ref="G52" r:id="rId2"/>
  </hyperlinks>
  <pageMargins left="0.28999999999999998" right="0.23" top="0.34" bottom="0.21" header="0.4" footer="0.17"/>
  <pageSetup scale="65" orientation="landscape" r:id="rId3"/>
  <headerFooter alignWithMargins="0">
    <oddFooter>&amp;C&amp;A
&amp;F&amp;R&amp;D&amp;L&amp;1#&amp;"Calibri"&amp;11&amp;K000000Classification: Protected A</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66"/>
  <sheetViews>
    <sheetView topLeftCell="D13" workbookViewId="0">
      <selection activeCell="G41" sqref="G41"/>
    </sheetView>
  </sheetViews>
  <sheetFormatPr defaultRowHeight="12.75" x14ac:dyDescent="0.2"/>
  <cols>
    <col min="2" max="9" width="19" customWidth="1"/>
    <col min="10" max="10" width="11.42578125" customWidth="1"/>
    <col min="11" max="11" width="11.5703125" customWidth="1"/>
    <col min="12" max="12" width="12.7109375" customWidth="1"/>
  </cols>
  <sheetData>
    <row r="1" spans="1:10" ht="13.5" thickBot="1" x14ac:dyDescent="0.25">
      <c r="E1" s="4"/>
      <c r="F1" s="4"/>
    </row>
    <row r="2" spans="1:10" ht="13.5" thickTop="1" x14ac:dyDescent="0.2">
      <c r="B2" s="77" t="s">
        <v>111</v>
      </c>
      <c r="C2" s="78"/>
      <c r="D2" s="115"/>
      <c r="E2" s="4"/>
      <c r="F2" s="4"/>
      <c r="J2" s="3"/>
    </row>
    <row r="3" spans="1:10" ht="13.5" thickBot="1" x14ac:dyDescent="0.25">
      <c r="B3" s="79" t="s">
        <v>85</v>
      </c>
      <c r="C3" s="114">
        <v>6.2923400000000003</v>
      </c>
      <c r="D3" s="116"/>
    </row>
    <row r="4" spans="1:10" ht="14.25" thickTop="1" thickBot="1" x14ac:dyDescent="0.25"/>
    <row r="5" spans="1:10" ht="13.5" thickTop="1" x14ac:dyDescent="0.2">
      <c r="F5" s="194" t="s">
        <v>67</v>
      </c>
      <c r="G5" s="195"/>
    </row>
    <row r="6" spans="1:10" x14ac:dyDescent="0.2">
      <c r="F6" s="55"/>
      <c r="G6" s="56"/>
    </row>
    <row r="7" spans="1:10" ht="13.5" thickBot="1" x14ac:dyDescent="0.25">
      <c r="F7" s="55"/>
      <c r="G7" s="57" t="s">
        <v>71</v>
      </c>
    </row>
    <row r="8" spans="1:10" ht="13.5" thickTop="1" x14ac:dyDescent="0.2">
      <c r="B8" s="61"/>
      <c r="C8" s="62" t="s">
        <v>61</v>
      </c>
      <c r="D8" s="63" t="s">
        <v>63</v>
      </c>
      <c r="E8" s="1"/>
      <c r="F8" s="58" t="s">
        <v>68</v>
      </c>
      <c r="G8" s="57" t="s">
        <v>72</v>
      </c>
    </row>
    <row r="9" spans="1:10" x14ac:dyDescent="0.2">
      <c r="B9" s="51" t="s">
        <v>16</v>
      </c>
      <c r="C9" s="6" t="s">
        <v>1</v>
      </c>
      <c r="D9" s="52" t="s">
        <v>61</v>
      </c>
      <c r="E9" s="1"/>
      <c r="F9" s="58" t="s">
        <v>70</v>
      </c>
      <c r="G9" s="57" t="s">
        <v>70</v>
      </c>
    </row>
    <row r="10" spans="1:10" x14ac:dyDescent="0.2">
      <c r="B10" s="53" t="s">
        <v>1</v>
      </c>
      <c r="C10" s="6" t="s">
        <v>65</v>
      </c>
      <c r="D10" s="52" t="s">
        <v>1</v>
      </c>
      <c r="E10" s="1"/>
      <c r="F10" s="59" t="s">
        <v>69</v>
      </c>
      <c r="G10" s="60" t="s">
        <v>69</v>
      </c>
    </row>
    <row r="11" spans="1:10" ht="14.25" x14ac:dyDescent="0.2">
      <c r="B11" s="191" t="s">
        <v>52</v>
      </c>
      <c r="C11" s="192"/>
      <c r="D11" s="193"/>
      <c r="F11" s="55"/>
      <c r="G11" s="56"/>
      <c r="H11" s="135" t="s">
        <v>92</v>
      </c>
    </row>
    <row r="12" spans="1:10" x14ac:dyDescent="0.2">
      <c r="A12" s="8" t="s">
        <v>4</v>
      </c>
      <c r="B12" s="64">
        <f>IF(Jan_WCS_Den=0,"",Jan_WCS_Den)</f>
        <v>920.5</v>
      </c>
      <c r="C12" s="70">
        <f>IF(Jan_WCS_Dilbit_Ratio=0,"",-(1-Jan_WCS_Dilbit_Ratio)*Synbit.Dilbit_Density_Diff.)</f>
        <v>0</v>
      </c>
      <c r="D12" s="65">
        <f>IF(Jan_WCS_Den=0,1,ROUND(B12+C12,1))</f>
        <v>920.5</v>
      </c>
      <c r="E12" s="54"/>
      <c r="F12" s="100">
        <f>IF(Jan_BVM_Dilbit_Den=1,NA(),ROUND('Data Tables'!I9,4))</f>
        <v>0.54679999999999995</v>
      </c>
      <c r="G12" s="102">
        <f>IF(Jan_BVM_Dilbit_Den=1,NA(), ROUND('Data Tables'!J9,4))</f>
        <v>1.54</v>
      </c>
      <c r="H12" s="162">
        <f>ROUND('Inputs &amp; Results'!D14,5)</f>
        <v>1.3087</v>
      </c>
    </row>
    <row r="13" spans="1:10" x14ac:dyDescent="0.2">
      <c r="A13" s="5" t="s">
        <v>5</v>
      </c>
      <c r="B13" s="64">
        <f>IF(Feb_WCS_Den=0,"",Feb_WCS_Den)</f>
        <v>919.1</v>
      </c>
      <c r="C13" s="70">
        <f>IF(Feb_WCS_Dilbit_Ratio=0,"",-(1-Feb_WCS_Dilbit_Ratio)*Synbit.Dilbit_Density_Diff.)</f>
        <v>0</v>
      </c>
      <c r="D13" s="65">
        <f>IF(Feb_WCS_Den=0,1,ROUND(B13+C13,1))</f>
        <v>919.1</v>
      </c>
      <c r="E13" s="54"/>
      <c r="F13" s="100">
        <f>IF(Feb_BVM_Dilbit_Den=1,NA(),ROUND('Data Tables'!I10,4))</f>
        <v>0.5272</v>
      </c>
      <c r="G13" s="102">
        <f>IF(Feb_BVM_Dilbit_Den=1,NA(),ROUND('Data Tables'!J10,4))</f>
        <v>1.5196000000000001</v>
      </c>
      <c r="H13" s="162">
        <f>ROUND('Inputs &amp; Results'!D15,5)</f>
        <v>1.3286</v>
      </c>
    </row>
    <row r="14" spans="1:10" x14ac:dyDescent="0.2">
      <c r="A14" s="1" t="s">
        <v>6</v>
      </c>
      <c r="B14" s="64">
        <f>IF(Mar_WCS_Den=0,"",Mar_WCS_Den)</f>
        <v>920.3</v>
      </c>
      <c r="C14" s="70">
        <f>IF(Mar_WCS_Dilbit_Ratio=0,"",-(1-Mar_WCS_Dilbit_Ratio)*Synbit.Dilbit_Density_Diff.)</f>
        <v>0</v>
      </c>
      <c r="D14" s="65">
        <f>IF(Mar_WCS_Den=0,1,ROUND(B14+C14,1))</f>
        <v>920.3</v>
      </c>
      <c r="E14" s="54"/>
      <c r="F14" s="100">
        <f>IF(Mar_BVM_Dilbit_Den=1,NA(),ROUND('Data Tables'!I11,4))</f>
        <v>0.55459999999999998</v>
      </c>
      <c r="G14" s="102">
        <f>IF(Mar_BVM_Dilbit_Den=1,NA(),ROUND('Data Tables'!J11,4))</f>
        <v>1.5479000000000001</v>
      </c>
      <c r="H14" s="162">
        <f>ROUND('Inputs &amp; Results'!D16,5)</f>
        <v>1.3953</v>
      </c>
    </row>
    <row r="15" spans="1:10" x14ac:dyDescent="0.2">
      <c r="A15" s="1" t="s">
        <v>7</v>
      </c>
      <c r="B15" s="64">
        <f>IF(Apr_WCS_Den=0,"",Apr_WCS_Den)</f>
        <v>920.8</v>
      </c>
      <c r="C15" s="70">
        <f>IF(Apr_WCS_Dilbit_Ratio=0,"",-(1-Apr_WCS_Dilbit_Ratio)*Synbit.Dilbit_Density_Diff.)</f>
        <v>-0.36000000000000032</v>
      </c>
      <c r="D15" s="65">
        <f>IF(Apr_WCS_Den=0,1,ROUND(B15+C15,1))</f>
        <v>920.4</v>
      </c>
      <c r="E15" s="54"/>
      <c r="F15" s="100">
        <f>IF(Apr_BVM_Dilbit_Den=1,NA(),ROUND('Data Tables'!I12,4))</f>
        <v>0.54530000000000001</v>
      </c>
      <c r="G15" s="102">
        <f>IF(Apr_BVM_Dilbit_Den=1,NA(),ROUND('Data Tables'!J12,4))</f>
        <v>1.5384</v>
      </c>
      <c r="H15" s="162">
        <f>ROUND('Inputs &amp; Results'!D17,5)</f>
        <v>1.4057999999999999</v>
      </c>
    </row>
    <row r="16" spans="1:10" x14ac:dyDescent="0.2">
      <c r="A16" s="1" t="s">
        <v>8</v>
      </c>
      <c r="B16" s="64">
        <f>IF(May_WCS_Den=0,"",May_WCS_Den)</f>
        <v>925.6</v>
      </c>
      <c r="C16" s="70">
        <f>IF(May_WCS_Dilbit_Ratio=0,"",-(1-May_WCS_Dilbit_Ratio)*Synbit.Dilbit_Density_Diff.)</f>
        <v>-0.12000000000000011</v>
      </c>
      <c r="D16" s="65">
        <f>IF(May_WCS_Den=0,1,ROUND(B16+C16,1))</f>
        <v>925.5</v>
      </c>
      <c r="E16" s="54"/>
      <c r="F16" s="100">
        <f>IF(May_BVM_Dilbit_Den=1,NA(),ROUND('Data Tables'!I13,4))</f>
        <v>0.49</v>
      </c>
      <c r="G16" s="102">
        <f>IF(May_BVM_Dilbit_Den=1,NA(),ROUND('Data Tables'!J13,4))</f>
        <v>1.4833000000000001</v>
      </c>
      <c r="H16" s="162">
        <f>ROUND('Inputs &amp; Results'!D18,5)</f>
        <v>1.397</v>
      </c>
    </row>
    <row r="17" spans="1:16" x14ac:dyDescent="0.2">
      <c r="A17" s="1" t="s">
        <v>9</v>
      </c>
      <c r="B17" s="64">
        <f>IF(Jun_WCS_Den=0,"",Jun_WCS_Den)</f>
        <v>933.3</v>
      </c>
      <c r="C17" s="70">
        <f>IF(Jun_WCS_Dilbit_Ratio=0,"",-(1-Jun_WCS_Dilbit_Ratio)*Synbit.Dilbit_Density_Diff.)</f>
        <v>-0.36000000000000032</v>
      </c>
      <c r="D17" s="65">
        <f>IF(Jun_WCS_Den=0,1,ROUND(B17+C17,1))</f>
        <v>932.9</v>
      </c>
      <c r="E17" s="54"/>
      <c r="F17" s="100">
        <f>IF(Jun_BVM_Dilbit_Den=1,NA(),ROUND('Data Tables'!I14,4))</f>
        <v>0.45789999999999997</v>
      </c>
      <c r="G17" s="102">
        <f>IF(Jun_BVM_Dilbit_Den=1,NA(),ROUND('Data Tables'!J14,4))</f>
        <v>1.4522999999999999</v>
      </c>
      <c r="H17" s="162">
        <f>ROUND('Inputs &amp; Results'!D19,5)</f>
        <v>1.355</v>
      </c>
    </row>
    <row r="18" spans="1:16" x14ac:dyDescent="0.2">
      <c r="A18" s="1" t="s">
        <v>10</v>
      </c>
      <c r="B18" s="64">
        <f>IF(Jul_WCS_Den=0,"",Jul_WCS_Den)</f>
        <v>933.7</v>
      </c>
      <c r="C18" s="70">
        <f>IF(Jul_WCS_Dilbit_Ratio=0,"",-(1-Jul_WCS_Dilbit_Ratio)*Synbit.Dilbit_Density_Diff.)</f>
        <v>-0.24000000000000021</v>
      </c>
      <c r="D18" s="65">
        <f>IF(Jul_WCS_Den=0,1,ROUND(B18+C18,1))</f>
        <v>933.5</v>
      </c>
      <c r="E18" s="54"/>
      <c r="F18" s="100">
        <f>IF(Jul_BVM_Dilbit_Den=1,NA(),ROUND('Data Tables'!I15,4))</f>
        <v>0.44450000000000001</v>
      </c>
      <c r="G18" s="102">
        <f>IF(Jul_BVM_Dilbit_Den=1,NA(),ROUND('Data Tables'!J15,4))</f>
        <v>1.4388000000000001</v>
      </c>
      <c r="H18" s="162">
        <f>ROUND('Inputs &amp; Results'!D20,5)</f>
        <v>1.3499000000000001</v>
      </c>
    </row>
    <row r="19" spans="1:16" x14ac:dyDescent="0.2">
      <c r="A19" s="8" t="s">
        <v>11</v>
      </c>
      <c r="B19" s="64">
        <f>IF(Aug_WCS_Den=0,"",Aug_WCS_Den)</f>
        <v>935.3</v>
      </c>
      <c r="C19" s="70">
        <f>IF(Aug_WCS_Dilbit_Ratio=0,"",-(1-Aug_WCS_Dilbit_Ratio)*Synbit.Dilbit_Density_Diff.)</f>
        <v>-0.24000000000000021</v>
      </c>
      <c r="D19" s="65">
        <f>IF(Aug_WCS_Den=0,1,ROUND(B19+C19,1))</f>
        <v>935.1</v>
      </c>
      <c r="E19" s="54"/>
      <c r="F19" s="100">
        <f>IF(Aug_BVM_Dilbit_Den=1,NA(),ROUND('Data Tables'!I16,4))</f>
        <v>0.43940000000000001</v>
      </c>
      <c r="G19" s="102">
        <f>IF(Aug_BVM_Dilbit_Den=1,NA(),ROUND('Data Tables'!J16,4))</f>
        <v>1.4339</v>
      </c>
      <c r="H19" s="162">
        <f>ROUND('Inputs &amp; Results'!D21,5)</f>
        <v>1.3222</v>
      </c>
    </row>
    <row r="20" spans="1:16" x14ac:dyDescent="0.2">
      <c r="A20" s="1" t="s">
        <v>12</v>
      </c>
      <c r="B20" s="64">
        <f>IF(Sep_WCS_Den=0,"",Sep_WCS_Den)</f>
        <v>934.3</v>
      </c>
      <c r="C20" s="70">
        <f>IF(Sep_WCS_Dilbit_Ratio=0,"",-(1-Sep_WCS_Dilbit_Ratio)*Synbit.Dilbit_Density_Diff.)</f>
        <v>-0.12000000000000011</v>
      </c>
      <c r="D20" s="65">
        <f>IF(Sep_WCS_Den=0,1,ROUND(B20+C20,1))</f>
        <v>934.2</v>
      </c>
      <c r="E20" s="54"/>
      <c r="F20" s="100">
        <f>IF(Sep_BVM_Dilbit_Den=1,NA(),ROUND('Data Tables'!I17,4))</f>
        <v>0.43080000000000002</v>
      </c>
      <c r="G20" s="102">
        <f>IF(Sep_BVM_Dilbit_Den=1,NA(),ROUND('Data Tables'!J17,4))</f>
        <v>1.4249000000000001</v>
      </c>
      <c r="H20" s="162">
        <f>ROUND('Inputs &amp; Results'!D22,5)</f>
        <v>1.3228</v>
      </c>
    </row>
    <row r="21" spans="1:16" x14ac:dyDescent="0.2">
      <c r="A21" s="1" t="s">
        <v>13</v>
      </c>
      <c r="B21" s="64">
        <f>IF(Oct_WCS_Den=0,"",Oct_WCS_Den)</f>
        <v>931.3</v>
      </c>
      <c r="C21" s="70">
        <f>IF(Oct_WCS_Dilbit_Ratio=0,"",-(1-Oct_WCS_Dilbit_Ratio)*Synbit.Dilbit_Density_Diff.)</f>
        <v>-0.12000000000000011</v>
      </c>
      <c r="D21" s="65">
        <f>IF(Oct_WCS_Den=0,1,ROUND(B21+C21,1))</f>
        <v>931.2</v>
      </c>
      <c r="E21" s="54"/>
      <c r="F21" s="100">
        <f>IF(Oct_BVM_Dilbit_Den=1,NA(),ROUND('Data Tables'!I18,4))</f>
        <v>0.46560000000000001</v>
      </c>
      <c r="G21" s="102">
        <f>IF(Oct_BVM_Dilbit_Den=1,NA(),ROUND('Data Tables'!J18,4))</f>
        <v>1.4597</v>
      </c>
      <c r="H21" s="162">
        <f>ROUND('Inputs &amp; Results'!D23,5)</f>
        <v>1.3214999999999999</v>
      </c>
    </row>
    <row r="22" spans="1:16" x14ac:dyDescent="0.2">
      <c r="A22" s="1" t="s">
        <v>14</v>
      </c>
      <c r="B22" s="64">
        <f>IF(Nov_WCS_Den=0,"",Nov_WCS_Den)</f>
        <v>927.3</v>
      </c>
      <c r="C22" s="70">
        <f>IF(Nov_WCS_Dilbit_Ratio=0,"",-(1-Nov_WCS_Dilbit_Ratio)*Synbit.Dilbit_Density_Diff.)</f>
        <v>-0.24000000000000021</v>
      </c>
      <c r="D22" s="65">
        <f>IF(Nov_WCS_Den=0,1,ROUND(B22+C22,1))</f>
        <v>927.1</v>
      </c>
      <c r="E22" s="54"/>
      <c r="F22" s="100">
        <f>IF(Nov_BVM_Dilbit_Den=1,NA(),ROUND('Data Tables'!I19,4))</f>
        <v>0.51449999999999996</v>
      </c>
      <c r="G22" s="102">
        <f>IF(Nov_BVM_Dilbit_Den=1,NA(),ROUND('Data Tables'!J19,4))</f>
        <v>1.5085999999999999</v>
      </c>
      <c r="H22" s="162">
        <f>ROUND('Inputs &amp; Results'!D24,5)</f>
        <v>1.3068</v>
      </c>
    </row>
    <row r="23" spans="1:16" ht="13.5" thickBot="1" x14ac:dyDescent="0.25">
      <c r="A23" s="1" t="s">
        <v>15</v>
      </c>
      <c r="B23" s="66">
        <f>IF(Dec_WCS_Den=0,"",Dec_WCS_Den)</f>
        <v>924</v>
      </c>
      <c r="C23" s="71">
        <f>IF(Dec_WCS_Dilbit_Ratio=0,"",-(1-Dec_WCS_Dilbit_Ratio)*Synbit.Dilbit_Density_Diff.)</f>
        <v>-0.24000000000000021</v>
      </c>
      <c r="D23" s="67">
        <f>IF(Dec_WCS_Den=0,1,ROUND(B23+C23,1))</f>
        <v>923.8</v>
      </c>
      <c r="E23" s="54"/>
      <c r="F23" s="101">
        <f>IF(Dec_BVM_Dilbit_Den=1,NA(),ROUND('Data Tables'!I20,4))</f>
        <v>0.51749999999999996</v>
      </c>
      <c r="G23" s="103">
        <f>IF(Dec_BVM_Dilbit_Den=1,NA(),ROUND('Data Tables'!J20,4))</f>
        <v>1.5108999999999999</v>
      </c>
      <c r="H23" s="162">
        <f>ROUND('Inputs &amp; Results'!D25,5)</f>
        <v>1.2807999999999999</v>
      </c>
      <c r="J23" s="2"/>
    </row>
    <row r="24" spans="1:16" ht="14.25" thickTop="1" thickBot="1" x14ac:dyDescent="0.25">
      <c r="A24" s="1"/>
      <c r="B24" s="7"/>
      <c r="C24" s="2"/>
      <c r="D24" s="50"/>
      <c r="E24" s="50"/>
      <c r="F24" s="50"/>
      <c r="G24" s="2"/>
      <c r="H24" s="2"/>
      <c r="I24" s="7"/>
      <c r="J24" s="49"/>
      <c r="L24" s="2"/>
      <c r="N24" s="3"/>
      <c r="O24" s="3"/>
      <c r="P24" s="2"/>
    </row>
    <row r="25" spans="1:16" ht="13.5" thickTop="1" x14ac:dyDescent="0.2">
      <c r="A25" s="1"/>
      <c r="B25" s="61"/>
      <c r="C25" s="122"/>
      <c r="D25" s="104"/>
      <c r="E25" s="108"/>
      <c r="F25" s="127" t="s">
        <v>59</v>
      </c>
      <c r="G25" s="109"/>
      <c r="H25" s="117"/>
      <c r="N25" s="3"/>
      <c r="O25" s="3"/>
      <c r="P25" s="2"/>
    </row>
    <row r="26" spans="1:16" x14ac:dyDescent="0.2">
      <c r="A26" s="1"/>
      <c r="B26" s="53" t="s">
        <v>16</v>
      </c>
      <c r="C26" s="123" t="s">
        <v>61</v>
      </c>
      <c r="D26" s="105" t="s">
        <v>63</v>
      </c>
      <c r="E26" s="110" t="s">
        <v>63</v>
      </c>
      <c r="F26" s="128" t="s">
        <v>64</v>
      </c>
      <c r="G26" s="105" t="s">
        <v>73</v>
      </c>
      <c r="H26" s="118" t="s">
        <v>73</v>
      </c>
      <c r="N26" s="3"/>
      <c r="O26" s="3"/>
      <c r="P26" s="2"/>
    </row>
    <row r="27" spans="1:16" x14ac:dyDescent="0.2">
      <c r="B27" s="53" t="s">
        <v>60</v>
      </c>
      <c r="C27" s="123" t="s">
        <v>66</v>
      </c>
      <c r="D27" s="105" t="s">
        <v>61</v>
      </c>
      <c r="E27" s="110" t="s">
        <v>61</v>
      </c>
      <c r="F27" s="123" t="s">
        <v>0</v>
      </c>
      <c r="G27" s="105" t="s">
        <v>74</v>
      </c>
      <c r="H27" s="118" t="s">
        <v>74</v>
      </c>
      <c r="N27" s="3"/>
      <c r="O27" s="3"/>
      <c r="P27" s="2"/>
    </row>
    <row r="28" spans="1:16" x14ac:dyDescent="0.2">
      <c r="B28" s="53" t="s">
        <v>2</v>
      </c>
      <c r="C28" s="123" t="s">
        <v>65</v>
      </c>
      <c r="D28" s="105" t="s">
        <v>66</v>
      </c>
      <c r="E28" s="110" t="s">
        <v>66</v>
      </c>
      <c r="F28" s="123" t="s">
        <v>2</v>
      </c>
      <c r="G28" s="105" t="s">
        <v>66</v>
      </c>
      <c r="H28" s="118" t="s">
        <v>66</v>
      </c>
    </row>
    <row r="29" spans="1:16" ht="14.25" x14ac:dyDescent="0.2">
      <c r="B29" s="99" t="s">
        <v>56</v>
      </c>
      <c r="C29" s="124" t="s">
        <v>56</v>
      </c>
      <c r="D29" s="97" t="s">
        <v>56</v>
      </c>
      <c r="E29" s="111" t="s">
        <v>82</v>
      </c>
      <c r="F29" s="124" t="s">
        <v>82</v>
      </c>
      <c r="G29" s="97" t="s">
        <v>82</v>
      </c>
      <c r="H29" s="119" t="s">
        <v>56</v>
      </c>
    </row>
    <row r="30" spans="1:16" x14ac:dyDescent="0.2">
      <c r="A30" s="8" t="s">
        <v>4</v>
      </c>
      <c r="B30" s="68">
        <f>Jan_WCS_Price</f>
        <v>36.82</v>
      </c>
      <c r="C30" s="125">
        <f>-ROUND((1-Jan_WCS_Dilbit_Ratio)*Jan_Synbit_Prem.,2)</f>
        <v>0</v>
      </c>
      <c r="D30" s="106">
        <f t="shared" ref="D30:D41" si="0">B30+C30</f>
        <v>36.82</v>
      </c>
      <c r="E30" s="112">
        <f>ROUND(Jan_Dilbit_Value*Jan_FX*Hvy_m3_to_bbl,2)</f>
        <v>303.2</v>
      </c>
      <c r="F30" s="125">
        <f>Jan_CRW_Price</f>
        <v>498.56</v>
      </c>
      <c r="G30" s="106">
        <f>IF(Jan_Cdn_Dilbit_Value=0,NA(),ROUND(Jan_Dilbit_Vol*Jan_Cdn_Dilbit_Value-Jan_CRW_Vol*Jan_CRW_Price-Quality_Adjustment,2))</f>
        <v>189.97</v>
      </c>
      <c r="H30" s="120">
        <f>IF(Jan_CRW_Price="", NA(),ROUND(Jan_Cdn_Bitumen_Value/Hvy_m3_to_bbl/Jan_FX,2))</f>
        <v>23.07</v>
      </c>
    </row>
    <row r="31" spans="1:16" x14ac:dyDescent="0.2">
      <c r="A31" s="5" t="s">
        <v>5</v>
      </c>
      <c r="B31" s="68">
        <f>Feb_WCS_Price</f>
        <v>27.28</v>
      </c>
      <c r="C31" s="125">
        <f>-ROUND((1-Feb_WCS_Dilbit_Ratio)*Feb_Synbit_Prem.,2)</f>
        <v>0</v>
      </c>
      <c r="D31" s="106">
        <f t="shared" si="0"/>
        <v>27.28</v>
      </c>
      <c r="E31" s="112">
        <f>ROUND(Feb_Dilbit_Value*Feb_FX*Hvy_m3_to_bbl,2)</f>
        <v>228.06</v>
      </c>
      <c r="F31" s="125">
        <f>Feb_CRW_Price</f>
        <v>415.34</v>
      </c>
      <c r="G31" s="106">
        <f>IF(Feb_Cdn_Dilbit_Value=0,NA(),ROUND(Feb_Dilbit_Vol*Feb_Cdn_Dilbit_Value-Feb_CRW_Vol*Feb_CRW_Price-Quality_Adjustment,2))</f>
        <v>123.25</v>
      </c>
      <c r="H31" s="120">
        <f>IF(Feb_CRW_Price="", NA(),ROUND(Feb_Cdn_Bitumen_Value/Hvy_m3_to_bbl/Feb_FX,2))</f>
        <v>14.74</v>
      </c>
    </row>
    <row r="32" spans="1:16" x14ac:dyDescent="0.2">
      <c r="A32" s="1" t="s">
        <v>6</v>
      </c>
      <c r="B32" s="68">
        <f>Mar_WCS_Price</f>
        <v>12.84</v>
      </c>
      <c r="C32" s="125">
        <f>-ROUND((1-Mar_WCS_Dilbit_Ratio)*Mar_Synbit_Prem.,2)</f>
        <v>0</v>
      </c>
      <c r="D32" s="106">
        <f t="shared" si="0"/>
        <v>12.84</v>
      </c>
      <c r="E32" s="112">
        <f>ROUND(Mar_Dilbit_Value*Mar_FX*Hvy_m3_to_bbl,2)</f>
        <v>112.73</v>
      </c>
      <c r="F32" s="125">
        <f>Mar_CRW_Price</f>
        <v>253.6</v>
      </c>
      <c r="G32" s="106">
        <f>IF(Mar_Cdn_Dilbit_Value=0,NA(),ROUND(Mar_Dilbit_Vol*Mar_Cdn_Dilbit_Value-Mar_CRW_Vol*Mar_CRW_Price-Quality_Adjustment,2))</f>
        <v>29.51</v>
      </c>
      <c r="H32" s="120">
        <f>IF(Mar_CRW_Price="", NA(),ROUND(Mar_Cdn_Bitumen_Value/Hvy_m3_to_bbl/Mar_FX,2))</f>
        <v>3.36</v>
      </c>
    </row>
    <row r="33" spans="1:8" x14ac:dyDescent="0.2">
      <c r="A33" s="1" t="s">
        <v>7</v>
      </c>
      <c r="B33" s="68">
        <f>Apr_WCS_Price</f>
        <v>3.5</v>
      </c>
      <c r="C33" s="125">
        <f>-ROUND((1-Apr_WCS_Dilbit_Ratio)*Apr_Synbit_Prem.,2)</f>
        <v>-7.0000000000000007E-2</v>
      </c>
      <c r="D33" s="106">
        <f t="shared" si="0"/>
        <v>3.43</v>
      </c>
      <c r="E33" s="112">
        <f>ROUND(Apr_Dilbit_Value*Apr_FX*Hvy_m3_to_bbl,2)</f>
        <v>30.34</v>
      </c>
      <c r="F33" s="125">
        <f>Apr_CRW_Price</f>
        <v>165.75</v>
      </c>
      <c r="G33" s="106">
        <f>IF(Apr_Cdn_Dilbit_Value=0,NA(),ROUND(Apr_Dilbit_Vol*Apr_Cdn_Dilbit_Value-Apr_CRW_Vol*Apr_CRW_Price-Quality_Adjustment,2))</f>
        <v>-48.05</v>
      </c>
      <c r="H33" s="120">
        <f>IF(Apr_CRW_Price="", NA(),ROUND(Apr_Cdn_Bitumen_Value/Hvy_m3_to_bbl/Apr_FX,2))</f>
        <v>-5.43</v>
      </c>
    </row>
    <row r="34" spans="1:8" x14ac:dyDescent="0.2">
      <c r="A34" s="1" t="s">
        <v>8</v>
      </c>
      <c r="B34" s="68">
        <f>May_WCS_Price</f>
        <v>11.67</v>
      </c>
      <c r="C34" s="125">
        <f>-ROUND((1-May_WCS_Dilbit_Ratio)*May_Synbit_Prem.,2)</f>
        <v>-0.02</v>
      </c>
      <c r="D34" s="106">
        <f t="shared" si="0"/>
        <v>11.65</v>
      </c>
      <c r="E34" s="112">
        <f>ROUND(May_Dilbit_Value*May_FX*Hvy_m3_to_bbl,2)</f>
        <v>102.41</v>
      </c>
      <c r="F34" s="125">
        <f>May_CRW_Price</f>
        <v>108.93</v>
      </c>
      <c r="G34" s="106">
        <f>IF(May_Cdn_Dilbit_Value=0,NA(),ROUND(May_Dilbit_Vol*May_Cdn_Dilbit_Value-May_CRW_Vol*May_CRW_Price-Quality_Adjustment,2))</f>
        <v>94.19</v>
      </c>
      <c r="H34" s="120">
        <f>IF(May_CRW_Price="", NA(),ROUND(May_Cdn_Bitumen_Value/Hvy_m3_to_bbl/May_FX,2))</f>
        <v>10.72</v>
      </c>
    </row>
    <row r="35" spans="1:8" x14ac:dyDescent="0.2">
      <c r="A35" s="1" t="s">
        <v>9</v>
      </c>
      <c r="B35" s="68">
        <f>Jun_WCS_Price</f>
        <v>33.97</v>
      </c>
      <c r="C35" s="125">
        <f>-ROUND((1-Jun_WCS_Dilbit_Ratio)*Jun_Synbit_Prem.,2)</f>
        <v>-0.04</v>
      </c>
      <c r="D35" s="106">
        <f t="shared" si="0"/>
        <v>33.93</v>
      </c>
      <c r="E35" s="112">
        <f>ROUND(Jun_Dilbit_Value*Jun_FX*Hvy_m3_to_bbl,2)</f>
        <v>289.29000000000002</v>
      </c>
      <c r="F35" s="125">
        <f>Jun_CRW_Price</f>
        <v>305.31</v>
      </c>
      <c r="G35" s="106">
        <f>IF(Jun_Cdn_Dilbit_Value=0,NA(),ROUND(Jun_Dilbit_Vol*Jun_Cdn_Dilbit_Value-Jun_CRW_Vol*Jun_CRW_Price-Quality_Adjustment,2))</f>
        <v>275.99</v>
      </c>
      <c r="H35" s="120">
        <f>IF(Jun_CRW_Price="", NA(),ROUND(Jun_Cdn_Bitumen_Value/Hvy_m3_to_bbl/Jun_FX,2))</f>
        <v>32.369999999999997</v>
      </c>
    </row>
    <row r="36" spans="1:8" x14ac:dyDescent="0.2">
      <c r="A36" s="1" t="s">
        <v>10</v>
      </c>
      <c r="B36" s="68">
        <f>Jul_WCS_Price</f>
        <v>32.5</v>
      </c>
      <c r="C36" s="125">
        <f>-ROUND((1-Jul_WCS_Dilbit_Ratio)*Jul_Synbit_Prem.,2)</f>
        <v>-0.01</v>
      </c>
      <c r="D36" s="106">
        <f t="shared" si="0"/>
        <v>32.49</v>
      </c>
      <c r="E36" s="112">
        <f>ROUND(Jul_Dilbit_Value*Jul_FX*Hvy_m3_to_bbl,2)</f>
        <v>275.97000000000003</v>
      </c>
      <c r="F36" s="125">
        <f>Jul_CRW_Price</f>
        <v>317</v>
      </c>
      <c r="G36" s="106">
        <f>IF(Jul_Cdn_Dilbit_Value=0,NA(),ROUND(Jul_Dilbit_Vol*Jul_Cdn_Dilbit_Value-Jul_CRW_Vol*Jul_CRW_Price-Quality_Adjustment,2))</f>
        <v>251.82</v>
      </c>
      <c r="H36" s="120">
        <f>IF(Jul_CRW_Price="", NA(),ROUND(Jul_Cdn_Bitumen_Value/Hvy_m3_to_bbl/Jul_FX,2))</f>
        <v>29.65</v>
      </c>
    </row>
    <row r="37" spans="1:8" x14ac:dyDescent="0.2">
      <c r="A37" s="8" t="s">
        <v>11</v>
      </c>
      <c r="B37" s="68">
        <f>Aug_WCS_Price</f>
        <v>34.6</v>
      </c>
      <c r="C37" s="125">
        <f>-ROUND((1-Aug_WCS_Dilbit_Ratio)*Aug_Synbit_Prem.,2)</f>
        <v>-0.01</v>
      </c>
      <c r="D37" s="106">
        <f t="shared" si="0"/>
        <v>34.590000000000003</v>
      </c>
      <c r="E37" s="112">
        <f>ROUND(Aug_Dilbit_Value*Aug_FX*Hvy_m3_to_bbl,2)</f>
        <v>287.77999999999997</v>
      </c>
      <c r="F37" s="125">
        <f>Aug_CRW_Price</f>
        <v>317.82</v>
      </c>
      <c r="G37" s="106">
        <f>IF(Aug_Cdn_Dilbit_Value=0,NA(),ROUND(Aug_Dilbit_Vol*Aug_Cdn_Dilbit_Value-Aug_CRW_Vol*Aug_CRW_Price-Quality_Adjustment,2))</f>
        <v>268.66000000000003</v>
      </c>
      <c r="H37" s="120">
        <f>IF(Aug_CRW_Price="", NA(),ROUND(Aug_Cdn_Bitumen_Value/Hvy_m3_to_bbl/Aug_FX,2))</f>
        <v>32.29</v>
      </c>
    </row>
    <row r="38" spans="1:8" x14ac:dyDescent="0.2">
      <c r="A38" s="1" t="s">
        <v>12</v>
      </c>
      <c r="B38" s="68">
        <f>Sep_WCS_Price</f>
        <v>28.43</v>
      </c>
      <c r="C38" s="125">
        <f>-ROUND((1-Sep_WCS_Dilbit_Ratio)*Sep_Synbit_Prem.,2)</f>
        <v>-0.01</v>
      </c>
      <c r="D38" s="106">
        <f t="shared" si="0"/>
        <v>28.419999999999998</v>
      </c>
      <c r="E38" s="112">
        <f>ROUND(Sep_Dilbit_Value*Sep_FX*Hvy_m3_to_bbl,2)</f>
        <v>236.55</v>
      </c>
      <c r="F38" s="125">
        <f>Sep_CRW_Price</f>
        <v>310.56</v>
      </c>
      <c r="G38" s="106">
        <f>IF(Sep_Cdn_Dilbit_Value=0,NA(),ROUND(Sep_Dilbit_Vol*Sep_Cdn_Dilbit_Value-Sep_CRW_Vol*Sep_CRW_Price-Quality_Adjustment,2))</f>
        <v>198.93</v>
      </c>
      <c r="H38" s="120">
        <f>IF(Sep_CRW_Price="", NA(),ROUND(Sep_Cdn_Bitumen_Value/Hvy_m3_to_bbl/Sep_FX,2))</f>
        <v>23.9</v>
      </c>
    </row>
    <row r="39" spans="1:8" x14ac:dyDescent="0.2">
      <c r="A39" s="1" t="s">
        <v>13</v>
      </c>
      <c r="B39" s="68">
        <f>Oct_WCS_Price</f>
        <v>31.17</v>
      </c>
      <c r="C39" s="125">
        <f>-ROUND((1-Oct_WCS_Dilbit_Ratio)*Oct_Synbit_Prem.,2)</f>
        <v>-0.01</v>
      </c>
      <c r="D39" s="106">
        <f t="shared" si="0"/>
        <v>31.16</v>
      </c>
      <c r="E39" s="112">
        <f>ROUND(Oct_Dilbit_Value*Oct_FX*Hvy_m3_to_bbl,2)</f>
        <v>259.11</v>
      </c>
      <c r="F39" s="125">
        <f>Oct_CRW_Price</f>
        <v>316.67</v>
      </c>
      <c r="G39" s="106">
        <f>IF(Oct_Cdn_Dilbit_Value=0,NA(),ROUND(Oct_Dilbit_Vol*Oct_Cdn_Dilbit_Value-Oct_CRW_Vol*Oct_CRW_Price-Quality_Adjustment,2))</f>
        <v>226.44</v>
      </c>
      <c r="H39" s="120">
        <f>IF(Oct_CRW_Price="", NA(),ROUND(Oct_Cdn_Bitumen_Value/Hvy_m3_to_bbl/Oct_FX,2))</f>
        <v>27.23</v>
      </c>
    </row>
    <row r="40" spans="1:8" x14ac:dyDescent="0.2">
      <c r="A40" s="1" t="s">
        <v>14</v>
      </c>
      <c r="B40" s="68">
        <f>Nov_WCS_Price</f>
        <v>31.57</v>
      </c>
      <c r="C40" s="125">
        <f>-ROUND((1-Nov_WCS_Dilbit_Ratio)*Nov_Synbit_Prem.,2)</f>
        <v>-0.02</v>
      </c>
      <c r="D40" s="106">
        <f t="shared" si="0"/>
        <v>31.55</v>
      </c>
      <c r="E40" s="112">
        <f>ROUND(Nov_Dilbit_Value*Nov_FX*Hvy_m3_to_bbl,2)</f>
        <v>259.43</v>
      </c>
      <c r="F40" s="125">
        <f>Nov_CRW_Price</f>
        <v>345.46</v>
      </c>
      <c r="G40" s="106">
        <f>IF(Nov_Cdn_Dilbit_Value=0,NA(),ROUND(Nov_Dilbit_Vol*Nov_Cdn_Dilbit_Value-Nov_CRW_Vol*Nov_CRW_Price-Quality_Adjustment,2))</f>
        <v>209.3</v>
      </c>
      <c r="H40" s="120">
        <f>IF(Nov_CRW_Price="", NA(),ROUND(Nov_Cdn_Bitumen_Value/Hvy_m3_to_bbl/Nov_FX,2))</f>
        <v>25.45</v>
      </c>
    </row>
    <row r="41" spans="1:8" ht="13.5" thickBot="1" x14ac:dyDescent="0.25">
      <c r="A41" s="1" t="s">
        <v>15</v>
      </c>
      <c r="B41" s="69">
        <f>Dec_WCS_Price</f>
        <v>37.32</v>
      </c>
      <c r="C41" s="126">
        <f>-ROUND((1-Dec_WCS_Dilbit_Ratio)*Dec_Synbit_Prem.,2)</f>
        <v>-0.02</v>
      </c>
      <c r="D41" s="107">
        <f t="shared" si="0"/>
        <v>37.299999999999997</v>
      </c>
      <c r="E41" s="113">
        <f>ROUND(Dec_Dilbit_Value*Dec_FX*Hvy_m3_to_bbl,2)</f>
        <v>300.61</v>
      </c>
      <c r="F41" s="126">
        <f>Dec_CRW_Price</f>
        <v>382.72</v>
      </c>
      <c r="G41" s="107">
        <f>IF(Dec_Cdn_Dilbit_Value=0,NA(),ROUND(Dec_Dilbit_Vol*Dec_Cdn_Dilbit_Value-Dec_CRW_Vol*Dec_CRW_Price-Quality_Adjustment,2))</f>
        <v>251.79</v>
      </c>
      <c r="H41" s="121">
        <f>IF(Dec_CRW_Price="", NA(),ROUND(Dec_Cdn_Bitumen_Value/Hvy_m3_to_bbl/Dec_FX,2))</f>
        <v>31.24</v>
      </c>
    </row>
    <row r="42" spans="1:8" ht="13.5" thickTop="1" x14ac:dyDescent="0.2">
      <c r="B42" s="2"/>
    </row>
    <row r="43" spans="1:8" x14ac:dyDescent="0.2">
      <c r="A43" s="80" t="s">
        <v>110</v>
      </c>
    </row>
    <row r="65" spans="5:5" x14ac:dyDescent="0.2">
      <c r="E65" s="98"/>
    </row>
    <row r="66" spans="5:5" x14ac:dyDescent="0.2">
      <c r="E66" s="98"/>
    </row>
  </sheetData>
  <protectedRanges>
    <protectedRange sqref="H12:H23" name="Range2"/>
  </protectedRanges>
  <mergeCells count="2">
    <mergeCell ref="B11:D11"/>
    <mergeCell ref="F5:G5"/>
  </mergeCells>
  <phoneticPr fontId="18" type="noConversion"/>
  <conditionalFormatting sqref="D12:D23">
    <cfRule type="cellIs" dxfId="0" priority="1" stopIfTrue="1" operator="equal">
      <formula>1</formula>
    </cfRule>
  </conditionalFormatting>
  <pageMargins left="0.28999999999999998" right="0.41" top="0.62" bottom="0.77" header="0.5" footer="0.37"/>
  <pageSetup scale="93" orientation="landscape" r:id="rId1"/>
  <headerFooter alignWithMargins="0">
    <oddFooter>&amp;C&amp;A
&amp;F&amp;R&amp;D&amp;L&amp;1#&amp;"Calibri"&amp;11&amp;K000000Classification: Protected 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3:O57"/>
  <sheetViews>
    <sheetView topLeftCell="B1" workbookViewId="0">
      <selection activeCell="B20" sqref="B20"/>
    </sheetView>
  </sheetViews>
  <sheetFormatPr defaultRowHeight="12.75" x14ac:dyDescent="0.2"/>
  <cols>
    <col min="1" max="1" width="4.42578125" customWidth="1"/>
    <col min="2" max="2" width="35.5703125" bestFit="1" customWidth="1"/>
    <col min="3" max="4" width="9.140625" style="3" customWidth="1"/>
    <col min="5" max="5" width="9.140625" customWidth="1"/>
    <col min="7" max="15" width="9.140625" customWidth="1"/>
    <col min="16" max="20" width="8" customWidth="1"/>
    <col min="21" max="21" width="3.140625" customWidth="1"/>
    <col min="22" max="34" width="8" customWidth="1"/>
    <col min="35" max="35" width="5.85546875" customWidth="1"/>
    <col min="36" max="96" width="8" customWidth="1"/>
  </cols>
  <sheetData>
    <row r="3" spans="1:11" x14ac:dyDescent="0.2">
      <c r="A3" s="136"/>
      <c r="B3" s="136"/>
      <c r="C3" s="136"/>
      <c r="D3" s="136"/>
      <c r="E3" s="136"/>
      <c r="F3" s="136"/>
      <c r="G3" s="136"/>
      <c r="H3" s="136"/>
      <c r="I3" s="137" t="s">
        <v>96</v>
      </c>
      <c r="J3" s="137" t="s">
        <v>83</v>
      </c>
      <c r="K3" s="136"/>
    </row>
    <row r="4" spans="1:11" x14ac:dyDescent="0.2">
      <c r="A4" s="136"/>
      <c r="B4" s="136"/>
      <c r="C4" s="136"/>
      <c r="D4" s="136"/>
      <c r="E4" s="136"/>
      <c r="F4" s="136"/>
      <c r="G4" s="136"/>
      <c r="H4" s="136"/>
      <c r="I4" s="137" t="s">
        <v>97</v>
      </c>
      <c r="J4" s="137" t="s">
        <v>98</v>
      </c>
      <c r="K4" s="136"/>
    </row>
    <row r="5" spans="1:11" x14ac:dyDescent="0.2">
      <c r="A5" s="136"/>
      <c r="B5" s="136"/>
      <c r="C5" s="136"/>
      <c r="D5" s="136"/>
      <c r="E5" s="136"/>
      <c r="F5" s="136"/>
      <c r="G5" s="136"/>
      <c r="H5" s="136"/>
      <c r="I5" s="137" t="s">
        <v>99</v>
      </c>
      <c r="J5" s="137" t="s">
        <v>99</v>
      </c>
      <c r="K5" s="136"/>
    </row>
    <row r="6" spans="1:11" x14ac:dyDescent="0.2">
      <c r="A6" s="136"/>
      <c r="B6" s="136"/>
      <c r="C6" s="136"/>
      <c r="D6" s="137" t="s">
        <v>74</v>
      </c>
      <c r="E6" s="137" t="s">
        <v>96</v>
      </c>
      <c r="F6" s="137" t="s">
        <v>83</v>
      </c>
      <c r="G6" s="136"/>
      <c r="H6" s="136"/>
      <c r="I6" s="137" t="s">
        <v>100</v>
      </c>
      <c r="J6" s="137" t="s">
        <v>100</v>
      </c>
      <c r="K6" s="136"/>
    </row>
    <row r="7" spans="1:11" x14ac:dyDescent="0.2">
      <c r="A7" s="136"/>
      <c r="B7" s="136"/>
      <c r="C7" s="136"/>
      <c r="D7" s="137" t="s">
        <v>1</v>
      </c>
      <c r="E7" s="137" t="s">
        <v>1</v>
      </c>
      <c r="F7" s="137" t="s">
        <v>1</v>
      </c>
      <c r="G7" s="136"/>
      <c r="H7" s="138" t="s">
        <v>101</v>
      </c>
      <c r="I7" s="137" t="s">
        <v>74</v>
      </c>
      <c r="J7" s="137" t="s">
        <v>74</v>
      </c>
      <c r="K7" s="136"/>
    </row>
    <row r="8" spans="1:11" x14ac:dyDescent="0.2">
      <c r="A8" s="136"/>
      <c r="B8" s="136"/>
      <c r="C8" s="136"/>
      <c r="D8" s="139">
        <v>1015</v>
      </c>
      <c r="E8" s="139">
        <v>717.3</v>
      </c>
      <c r="F8" s="139">
        <v>924.7</v>
      </c>
      <c r="G8" s="136"/>
      <c r="H8" s="140">
        <v>0</v>
      </c>
      <c r="I8" s="141">
        <f ca="1">L33</f>
        <v>0.46896103563821973</v>
      </c>
      <c r="J8" s="141">
        <f ca="1">L35</f>
        <v>1.4614314880569466</v>
      </c>
      <c r="K8" s="136"/>
    </row>
    <row r="9" spans="1:11" x14ac:dyDescent="0.2">
      <c r="A9" s="136"/>
      <c r="B9" s="136"/>
      <c r="C9" s="142" t="str">
        <f>'Inputs &amp; Results'!B14</f>
        <v>Jan</v>
      </c>
      <c r="D9" s="139">
        <f>ROUND(Jan_Bitumen_Den,1)</f>
        <v>1015</v>
      </c>
      <c r="E9" s="139">
        <f>Jan_CRW_Den</f>
        <v>736.2</v>
      </c>
      <c r="F9" s="139">
        <f>Jan_BVM_Dilbit_Den</f>
        <v>920.5</v>
      </c>
      <c r="G9" s="136"/>
      <c r="H9" s="140">
        <v>1</v>
      </c>
      <c r="I9" s="143">
        <f t="dataTable" ref="I9:J20" dt2D="0" dtr="0" r1="H8" ca="1"/>
        <v>0.54681939593714513</v>
      </c>
      <c r="J9" s="143">
        <v>1.5399982809665027</v>
      </c>
      <c r="K9" s="136"/>
    </row>
    <row r="10" spans="1:11" x14ac:dyDescent="0.2">
      <c r="A10" s="136"/>
      <c r="B10" s="136"/>
      <c r="C10" s="142" t="str">
        <f>'Inputs &amp; Results'!B15</f>
        <v>Feb</v>
      </c>
      <c r="D10" s="139">
        <f>ROUND(Feb_Bitumen_Den,1)</f>
        <v>1015</v>
      </c>
      <c r="E10" s="139">
        <f>Feb_CRW_Den</f>
        <v>723.9</v>
      </c>
      <c r="F10" s="139">
        <f>Feb_BVM_Dilbit_Den</f>
        <v>919.1</v>
      </c>
      <c r="G10" s="136"/>
      <c r="H10" s="140">
        <v>2</v>
      </c>
      <c r="I10" s="143">
        <v>0.52719370500371676</v>
      </c>
      <c r="J10" s="143">
        <v>1.5195685835100599</v>
      </c>
      <c r="K10" s="136"/>
    </row>
    <row r="11" spans="1:11" x14ac:dyDescent="0.2">
      <c r="A11" s="136"/>
      <c r="B11" s="136"/>
      <c r="C11" s="142" t="str">
        <f>'Inputs &amp; Results'!B16</f>
        <v>Mar</v>
      </c>
      <c r="D11" s="139">
        <f>ROUND(Mar_Bitumen_Den,1)</f>
        <v>1015</v>
      </c>
      <c r="E11" s="139">
        <f>Mar_CRW_Den</f>
        <v>738.4</v>
      </c>
      <c r="F11" s="139">
        <f>Mar_BVM_Dilbit_Den</f>
        <v>920.3</v>
      </c>
      <c r="G11" s="136"/>
      <c r="H11" s="140">
        <v>3</v>
      </c>
      <c r="I11" s="143">
        <v>0.55461388433116732</v>
      </c>
      <c r="J11" s="143">
        <v>1.5478940266603964</v>
      </c>
      <c r="K11" s="136"/>
    </row>
    <row r="12" spans="1:11" x14ac:dyDescent="0.2">
      <c r="A12" s="136"/>
      <c r="B12" s="136"/>
      <c r="C12" s="142" t="str">
        <f>'Inputs &amp; Results'!B17</f>
        <v>Apr</v>
      </c>
      <c r="D12" s="139">
        <f>ROUND(Apr_Bitumen_Den,1)</f>
        <v>1015</v>
      </c>
      <c r="E12" s="139">
        <f>Apr_CRW_Den</f>
        <v>735.3</v>
      </c>
      <c r="F12" s="139">
        <f>Apr_BVM_Dilbit_Den</f>
        <v>920.4</v>
      </c>
      <c r="G12" s="136"/>
      <c r="H12" s="140">
        <v>4</v>
      </c>
      <c r="I12" s="143">
        <v>0.54527075314361806</v>
      </c>
      <c r="J12" s="143">
        <v>1.5383937007897781</v>
      </c>
      <c r="K12" s="136"/>
    </row>
    <row r="13" spans="1:11" x14ac:dyDescent="0.2">
      <c r="A13" s="136"/>
      <c r="B13" s="136"/>
      <c r="C13" s="142" t="str">
        <f>'Inputs &amp; Results'!B18</f>
        <v>May</v>
      </c>
      <c r="D13" s="139">
        <f>ROUND(May_Bitumen_Den,1)</f>
        <v>1015</v>
      </c>
      <c r="E13" s="139">
        <f>May_CRW_Den</f>
        <v>730.1</v>
      </c>
      <c r="F13" s="139">
        <f>May_BVM_Dilbit_Den</f>
        <v>925.5</v>
      </c>
      <c r="G13" s="136"/>
      <c r="H13" s="140">
        <v>5</v>
      </c>
      <c r="I13" s="143">
        <v>0.49001444529570076</v>
      </c>
      <c r="J13" s="143">
        <v>1.483262578233852</v>
      </c>
      <c r="K13" s="136"/>
    </row>
    <row r="14" spans="1:11" x14ac:dyDescent="0.2">
      <c r="A14" s="136"/>
      <c r="B14" s="136"/>
      <c r="C14" s="142" t="str">
        <f>'Inputs &amp; Results'!B19</f>
        <v>Jun</v>
      </c>
      <c r="D14" s="139">
        <f>ROUND(Jun_Bitumen_Den,1)</f>
        <v>1015</v>
      </c>
      <c r="E14" s="139">
        <f>Jun_CRW_Den</f>
        <v>742.2</v>
      </c>
      <c r="F14" s="139">
        <f>Jun_BVM_Dilbit_Den</f>
        <v>932.9</v>
      </c>
      <c r="G14" s="136"/>
      <c r="H14" s="140">
        <v>6</v>
      </c>
      <c r="I14" s="143">
        <v>0.45792367912996756</v>
      </c>
      <c r="J14" s="143">
        <v>1.4523217237656909</v>
      </c>
      <c r="K14" s="136"/>
    </row>
    <row r="15" spans="1:11" x14ac:dyDescent="0.2">
      <c r="A15" s="136"/>
      <c r="B15" s="136"/>
      <c r="C15" s="142" t="str">
        <f>'Inputs &amp; Results'!B20</f>
        <v>Jul</v>
      </c>
      <c r="D15" s="139">
        <f>ROUND(Jul_Bitumen_Den,1)</f>
        <v>1015</v>
      </c>
      <c r="E15" s="139">
        <f>Jul_CRW_Den</f>
        <v>738.1</v>
      </c>
      <c r="F15" s="139">
        <f>Jul_BVM_Dilbit_Den</f>
        <v>933.5</v>
      </c>
      <c r="G15" s="136"/>
      <c r="H15" s="140">
        <v>7</v>
      </c>
      <c r="I15" s="143">
        <v>0.44452560448953743</v>
      </c>
      <c r="J15" s="143">
        <v>1.4387834238096069</v>
      </c>
      <c r="K15" s="136"/>
    </row>
    <row r="16" spans="1:11" x14ac:dyDescent="0.2">
      <c r="A16" s="136"/>
      <c r="B16" s="136"/>
      <c r="C16" s="142" t="str">
        <f>'Inputs &amp; Results'!B21</f>
        <v>Aug</v>
      </c>
      <c r="D16" s="139">
        <f>ROUND(Aug_Bitumen_Den,1)</f>
        <v>1015</v>
      </c>
      <c r="E16" s="139">
        <f>Aug_CRW_Den</f>
        <v>741.6</v>
      </c>
      <c r="F16" s="139">
        <f>Aug_BVM_Dilbit_Den</f>
        <v>935.1</v>
      </c>
      <c r="G16" s="136"/>
      <c r="H16" s="140">
        <v>8</v>
      </c>
      <c r="I16" s="143">
        <v>0.43935088916226378</v>
      </c>
      <c r="J16" s="143">
        <v>1.4338815099569251</v>
      </c>
      <c r="K16" s="136"/>
    </row>
    <row r="17" spans="1:15" x14ac:dyDescent="0.2">
      <c r="A17" s="136"/>
      <c r="B17" s="136"/>
      <c r="C17" s="142" t="str">
        <f>'Inputs &amp; Results'!B22</f>
        <v>Sep</v>
      </c>
      <c r="D17" s="139">
        <f>ROUND(Sep_Bitumen_Den,1)</f>
        <v>1015</v>
      </c>
      <c r="E17" s="139">
        <f>Sep_CRW_Den</f>
        <v>733.9</v>
      </c>
      <c r="F17" s="139">
        <f>Sep_BVM_Dilbit_Den</f>
        <v>934.2</v>
      </c>
      <c r="G17" s="136"/>
      <c r="H17" s="140">
        <v>9</v>
      </c>
      <c r="I17" s="143">
        <v>0.43082875339621285</v>
      </c>
      <c r="J17" s="143">
        <v>1.4249466866232381</v>
      </c>
      <c r="K17" s="136"/>
    </row>
    <row r="18" spans="1:15" x14ac:dyDescent="0.2">
      <c r="A18" s="136"/>
      <c r="B18" s="136"/>
      <c r="C18" s="142" t="str">
        <f>'Inputs &amp; Results'!B23</f>
        <v>Oct</v>
      </c>
      <c r="D18" s="139">
        <f>ROUND(Oct_Bitumen_Den,1)</f>
        <v>1015</v>
      </c>
      <c r="E18" s="139">
        <f>Oct_CRW_Den</f>
        <v>739.5</v>
      </c>
      <c r="F18" s="139">
        <f>Oct_BVM_Dilbit_Den</f>
        <v>931.2</v>
      </c>
      <c r="G18" s="136"/>
      <c r="H18" s="140">
        <v>10</v>
      </c>
      <c r="I18" s="143">
        <v>0.46555124203424014</v>
      </c>
      <c r="J18" s="143">
        <v>1.4597026662068178</v>
      </c>
      <c r="K18" s="136"/>
    </row>
    <row r="19" spans="1:15" x14ac:dyDescent="0.2">
      <c r="A19" s="136"/>
      <c r="B19" s="136"/>
      <c r="C19" s="142" t="str">
        <f>'Inputs &amp; Results'!B24</f>
        <v>Nov</v>
      </c>
      <c r="D19" s="139">
        <f>ROUND(Nov_Bitumen_Den,1)</f>
        <v>1015</v>
      </c>
      <c r="E19" s="139">
        <f>Nov_CRW_Den</f>
        <v>745.7</v>
      </c>
      <c r="F19" s="139">
        <f>Nov_BVM_Dilbit_Den</f>
        <v>927.1</v>
      </c>
      <c r="G19" s="136"/>
      <c r="H19" s="140">
        <v>11</v>
      </c>
      <c r="I19" s="143">
        <v>0.51450611307266381</v>
      </c>
      <c r="J19" s="143">
        <v>1.5086476040264607</v>
      </c>
      <c r="K19" s="136"/>
    </row>
    <row r="20" spans="1:15" x14ac:dyDescent="0.2">
      <c r="A20" s="136"/>
      <c r="B20" s="136"/>
      <c r="C20" s="142" t="str">
        <f>'Inputs &amp; Results'!B25</f>
        <v>Dec</v>
      </c>
      <c r="D20" s="139">
        <f>ROUND(Dec_Bitumen_Den,1)</f>
        <v>1015</v>
      </c>
      <c r="E20" s="139">
        <f>Dec_CRW_Den</f>
        <v>735.8</v>
      </c>
      <c r="F20" s="139">
        <f>Dec_BVM_Dilbit_Den</f>
        <v>923.8</v>
      </c>
      <c r="G20" s="136"/>
      <c r="H20" s="140">
        <v>12</v>
      </c>
      <c r="I20" s="143">
        <v>0.51747725930179789</v>
      </c>
      <c r="J20" s="143">
        <v>1.5108895264164268</v>
      </c>
      <c r="K20" s="136"/>
    </row>
    <row r="21" spans="1:15" x14ac:dyDescent="0.2">
      <c r="C21"/>
      <c r="D21"/>
    </row>
    <row r="22" spans="1:15" x14ac:dyDescent="0.2">
      <c r="C22"/>
      <c r="D22"/>
    </row>
    <row r="23" spans="1:15" ht="13.35" customHeight="1" x14ac:dyDescent="0.2">
      <c r="C23"/>
      <c r="D23"/>
    </row>
    <row r="24" spans="1:15" ht="39.6" customHeight="1" x14ac:dyDescent="0.4">
      <c r="B24" s="48"/>
      <c r="C24" s="11"/>
      <c r="D24" s="11"/>
      <c r="E24" s="12" t="s">
        <v>17</v>
      </c>
      <c r="F24" s="10"/>
      <c r="G24" s="13"/>
      <c r="H24" s="13"/>
      <c r="I24" s="13"/>
      <c r="J24" s="10"/>
      <c r="K24" s="10"/>
      <c r="L24" s="10"/>
      <c r="M24" s="10"/>
      <c r="N24" s="10"/>
      <c r="O24" s="10"/>
    </row>
    <row r="25" spans="1:15" x14ac:dyDescent="0.2">
      <c r="B25" s="48"/>
      <c r="C25" s="11"/>
      <c r="D25" s="11"/>
      <c r="E25" s="10"/>
      <c r="F25" s="10"/>
      <c r="G25" s="10"/>
      <c r="H25" s="10"/>
      <c r="I25" s="10"/>
      <c r="J25" s="10"/>
      <c r="K25" s="10"/>
      <c r="L25" s="10"/>
      <c r="M25" s="10"/>
      <c r="N25" s="10"/>
      <c r="O25" s="10"/>
    </row>
    <row r="26" spans="1:15" ht="18" x14ac:dyDescent="0.25">
      <c r="B26" s="48"/>
      <c r="C26" s="10"/>
      <c r="D26" s="10"/>
      <c r="E26" s="10"/>
      <c r="F26" s="10"/>
      <c r="G26" s="14"/>
      <c r="H26" s="10"/>
      <c r="I26" s="10"/>
      <c r="J26" s="14"/>
      <c r="K26" s="10"/>
      <c r="L26" s="10"/>
      <c r="M26" s="10"/>
      <c r="N26" s="10"/>
      <c r="O26" s="10"/>
    </row>
    <row r="27" spans="1:15" ht="18" x14ac:dyDescent="0.25">
      <c r="B27" s="48"/>
      <c r="C27" s="10"/>
      <c r="D27" s="10"/>
      <c r="E27" s="10"/>
      <c r="F27" s="10"/>
      <c r="G27" s="15" t="s">
        <v>18</v>
      </c>
      <c r="H27" s="10"/>
      <c r="I27" s="10"/>
      <c r="J27" s="15"/>
      <c r="K27" s="10"/>
      <c r="L27" s="10"/>
      <c r="M27" s="10"/>
      <c r="N27" s="10"/>
      <c r="O27" s="10"/>
    </row>
    <row r="28" spans="1:15" ht="18.75" x14ac:dyDescent="0.3">
      <c r="B28" s="48"/>
      <c r="C28" s="10"/>
      <c r="D28" s="10"/>
      <c r="E28" s="10"/>
      <c r="F28" s="10"/>
      <c r="G28" s="16" t="s">
        <v>19</v>
      </c>
      <c r="H28" s="10"/>
      <c r="I28" s="10"/>
      <c r="J28" s="16"/>
      <c r="K28" s="10"/>
      <c r="L28" s="10"/>
      <c r="M28" s="10"/>
      <c r="N28" s="10"/>
      <c r="O28" s="10"/>
    </row>
    <row r="29" spans="1:15" ht="15.75" x14ac:dyDescent="0.25">
      <c r="B29" s="48"/>
      <c r="C29" s="10"/>
      <c r="D29" s="10"/>
      <c r="E29" s="10"/>
      <c r="F29" s="17"/>
      <c r="G29" s="146"/>
      <c r="H29" s="10"/>
      <c r="I29" s="17"/>
      <c r="J29" s="146"/>
      <c r="K29" s="10"/>
      <c r="L29" s="10"/>
      <c r="M29" s="10"/>
      <c r="N29" s="10"/>
      <c r="O29" s="10"/>
    </row>
    <row r="30" spans="1:15" ht="16.5" thickBot="1" x14ac:dyDescent="0.3">
      <c r="B30" s="48"/>
      <c r="C30" s="202" t="s">
        <v>20</v>
      </c>
      <c r="D30" s="202"/>
      <c r="E30" s="10"/>
      <c r="F30" s="10"/>
      <c r="G30" s="10"/>
      <c r="H30" s="10"/>
      <c r="I30" s="10"/>
      <c r="J30" s="10"/>
      <c r="K30" s="10"/>
      <c r="L30" s="203" t="s">
        <v>21</v>
      </c>
      <c r="M30" s="203"/>
      <c r="N30" s="10"/>
      <c r="O30" s="10"/>
    </row>
    <row r="31" spans="1:15" ht="17.25" customHeight="1" thickTop="1" thickBot="1" x14ac:dyDescent="0.3">
      <c r="B31" s="147"/>
      <c r="C31" s="205">
        <v>1</v>
      </c>
      <c r="D31" s="206"/>
      <c r="E31" s="10" t="s">
        <v>23</v>
      </c>
      <c r="F31" s="10"/>
      <c r="G31" s="10"/>
      <c r="H31" s="10"/>
      <c r="I31" s="10"/>
      <c r="J31" s="10"/>
      <c r="K31" s="148" t="s">
        <v>22</v>
      </c>
      <c r="L31" s="198">
        <f>E46</f>
        <v>1</v>
      </c>
      <c r="M31" s="199"/>
      <c r="N31" s="146" t="s">
        <v>23</v>
      </c>
      <c r="O31" s="10"/>
    </row>
    <row r="32" spans="1:15" ht="17.25" thickTop="1" thickBot="1" x14ac:dyDescent="0.3">
      <c r="B32" s="147"/>
      <c r="C32" s="205">
        <f ca="1">OFFSET($D$8,$H$8,0)</f>
        <v>1015</v>
      </c>
      <c r="D32" s="206"/>
      <c r="E32" s="10" t="s">
        <v>3</v>
      </c>
      <c r="F32" s="10"/>
      <c r="G32" s="10"/>
      <c r="H32" s="10"/>
      <c r="I32" s="10"/>
      <c r="J32" s="10"/>
      <c r="K32" s="148" t="s">
        <v>24</v>
      </c>
      <c r="L32" s="200">
        <f ca="1">L33/(L33+L31)*100</f>
        <v>31.924674941052483</v>
      </c>
      <c r="M32" s="201"/>
      <c r="N32" s="146" t="s">
        <v>25</v>
      </c>
      <c r="O32" s="10"/>
    </row>
    <row r="33" spans="2:15" ht="17.25" thickTop="1" thickBot="1" x14ac:dyDescent="0.3">
      <c r="B33" s="147"/>
      <c r="C33" s="205">
        <f ca="1">OFFSET($E$8,$H$8,0)</f>
        <v>717.3</v>
      </c>
      <c r="D33" s="206"/>
      <c r="E33" s="10" t="s">
        <v>3</v>
      </c>
      <c r="F33" s="10"/>
      <c r="G33" s="10"/>
      <c r="H33" s="10"/>
      <c r="I33" s="10"/>
      <c r="J33" s="10"/>
      <c r="K33" s="148" t="s">
        <v>26</v>
      </c>
      <c r="L33" s="198">
        <f ca="1">E48+G48+I48+K48+M48</f>
        <v>0.46896103563821973</v>
      </c>
      <c r="M33" s="199"/>
      <c r="N33" s="146" t="s">
        <v>23</v>
      </c>
      <c r="O33" s="10"/>
    </row>
    <row r="34" spans="2:15" ht="17.25" thickTop="1" thickBot="1" x14ac:dyDescent="0.3">
      <c r="B34" s="147"/>
      <c r="C34" s="205">
        <f ca="1">OFFSET($F$8,$H$8,0)</f>
        <v>924.7</v>
      </c>
      <c r="D34" s="206"/>
      <c r="E34" s="10" t="s">
        <v>3</v>
      </c>
      <c r="F34" s="10"/>
      <c r="G34" s="10"/>
      <c r="H34" s="10"/>
      <c r="I34" s="10"/>
      <c r="J34" s="10"/>
      <c r="K34" s="148" t="s">
        <v>27</v>
      </c>
      <c r="L34" s="198">
        <f ca="1">E54+G54+I54+K54+M54</f>
        <v>7.5295475812729509E-3</v>
      </c>
      <c r="M34" s="199"/>
      <c r="N34" s="146" t="s">
        <v>23</v>
      </c>
      <c r="O34" s="10"/>
    </row>
    <row r="35" spans="2:15" ht="17.25" customHeight="1" thickTop="1" thickBot="1" x14ac:dyDescent="0.3">
      <c r="B35" s="48"/>
      <c r="C35" s="10"/>
      <c r="D35" s="18"/>
      <c r="E35" s="10"/>
      <c r="F35" s="10"/>
      <c r="G35" s="10"/>
      <c r="H35" s="10"/>
      <c r="I35" s="10"/>
      <c r="J35" s="10"/>
      <c r="K35" s="148" t="s">
        <v>28</v>
      </c>
      <c r="L35" s="198">
        <f ca="1">M55</f>
        <v>1.4614314880569466</v>
      </c>
      <c r="M35" s="199"/>
      <c r="N35" s="146" t="s">
        <v>23</v>
      </c>
      <c r="O35" s="10"/>
    </row>
    <row r="36" spans="2:15" ht="24" customHeight="1" x14ac:dyDescent="0.25">
      <c r="B36" s="48"/>
      <c r="C36" s="10"/>
      <c r="D36" s="18"/>
      <c r="E36" s="10"/>
      <c r="F36" s="10"/>
      <c r="G36" s="10"/>
      <c r="H36" s="10"/>
      <c r="I36" s="148"/>
      <c r="J36" s="10"/>
      <c r="K36" s="148" t="s">
        <v>29</v>
      </c>
      <c r="L36" s="204">
        <f ca="1">L35/(L31+L33)</f>
        <v>0.99487423600858016</v>
      </c>
      <c r="M36" s="197"/>
      <c r="N36" s="10"/>
      <c r="O36" s="10"/>
    </row>
    <row r="37" spans="2:15" x14ac:dyDescent="0.2">
      <c r="B37" s="48"/>
      <c r="C37" s="10"/>
      <c r="D37" s="10"/>
      <c r="E37" s="10"/>
      <c r="F37" s="10"/>
      <c r="G37" s="10"/>
      <c r="H37" s="10"/>
      <c r="I37" s="20"/>
      <c r="J37" s="20"/>
      <c r="K37" s="20"/>
      <c r="L37" s="20"/>
      <c r="M37" s="10"/>
      <c r="N37" s="10"/>
      <c r="O37" s="10"/>
    </row>
    <row r="38" spans="2:15" ht="20.25" x14ac:dyDescent="0.3">
      <c r="B38" s="48"/>
      <c r="C38" s="10"/>
      <c r="D38" s="10"/>
      <c r="E38" s="10"/>
      <c r="F38" s="21" t="s">
        <v>30</v>
      </c>
      <c r="G38" s="22"/>
      <c r="H38" s="22"/>
      <c r="I38" s="22"/>
      <c r="J38" s="22"/>
      <c r="K38" s="20"/>
      <c r="L38" s="20"/>
      <c r="M38" s="10"/>
      <c r="N38" s="10"/>
      <c r="O38" s="10"/>
    </row>
    <row r="39" spans="2:15" ht="15" x14ac:dyDescent="0.2">
      <c r="B39" s="48"/>
      <c r="C39" s="10"/>
      <c r="D39" s="10"/>
      <c r="E39" s="10"/>
      <c r="F39" s="22"/>
      <c r="G39" s="22"/>
      <c r="H39" s="22"/>
      <c r="I39" s="22"/>
      <c r="J39" s="22"/>
      <c r="K39" s="20"/>
      <c r="L39" s="20"/>
      <c r="M39" s="10"/>
      <c r="N39" s="10"/>
      <c r="O39" s="10"/>
    </row>
    <row r="40" spans="2:15" ht="15.75" x14ac:dyDescent="0.25">
      <c r="B40" s="48"/>
      <c r="C40" s="24"/>
      <c r="D40" s="24"/>
      <c r="E40" s="25" t="s">
        <v>31</v>
      </c>
      <c r="F40" s="26"/>
      <c r="G40" s="25" t="s">
        <v>32</v>
      </c>
      <c r="H40" s="27"/>
      <c r="I40" s="25" t="s">
        <v>33</v>
      </c>
      <c r="J40" s="27"/>
      <c r="K40" s="25" t="s">
        <v>34</v>
      </c>
      <c r="L40" s="27"/>
      <c r="M40" s="196" t="s">
        <v>35</v>
      </c>
      <c r="N40" s="197"/>
      <c r="O40" s="19"/>
    </row>
    <row r="41" spans="2:15" x14ac:dyDescent="0.2">
      <c r="B41" s="48"/>
      <c r="C41" s="28"/>
      <c r="D41" s="28"/>
      <c r="E41" s="23"/>
      <c r="F41" s="149" t="s">
        <v>36</v>
      </c>
      <c r="G41" s="10"/>
      <c r="H41" s="149" t="s">
        <v>36</v>
      </c>
      <c r="I41" s="10"/>
      <c r="J41" s="149" t="s">
        <v>36</v>
      </c>
      <c r="K41" s="10"/>
      <c r="L41" s="149" t="s">
        <v>36</v>
      </c>
      <c r="M41" s="10"/>
      <c r="N41" s="149" t="s">
        <v>36</v>
      </c>
      <c r="O41" s="10"/>
    </row>
    <row r="42" spans="2:15" ht="15.75" customHeight="1" x14ac:dyDescent="0.25">
      <c r="B42" s="144" t="s">
        <v>37</v>
      </c>
      <c r="C42" s="28" t="s">
        <v>3</v>
      </c>
      <c r="D42" s="28"/>
      <c r="E42" s="29">
        <f ca="1">C33</f>
        <v>717.3</v>
      </c>
      <c r="F42" s="30">
        <f ca="1">1/E42</f>
        <v>1.3941168269901018E-3</v>
      </c>
      <c r="G42" s="31">
        <f ca="1">E42</f>
        <v>717.3</v>
      </c>
      <c r="H42" s="30">
        <f ca="1">1/G42</f>
        <v>1.3941168269901018E-3</v>
      </c>
      <c r="I42" s="31">
        <f ca="1">G42</f>
        <v>717.3</v>
      </c>
      <c r="J42" s="30">
        <f ca="1">1/I42</f>
        <v>1.3941168269901018E-3</v>
      </c>
      <c r="K42" s="31">
        <f ca="1">I42</f>
        <v>717.3</v>
      </c>
      <c r="L42" s="30">
        <f ca="1">1/K42</f>
        <v>1.3941168269901018E-3</v>
      </c>
      <c r="M42" s="31">
        <f ca="1">K42</f>
        <v>717.3</v>
      </c>
      <c r="N42" s="30">
        <f ca="1">1/M42</f>
        <v>1.3941168269901018E-3</v>
      </c>
      <c r="O42" s="31"/>
    </row>
    <row r="43" spans="2:15" ht="15.75" x14ac:dyDescent="0.25">
      <c r="B43" s="144" t="s">
        <v>38</v>
      </c>
      <c r="C43" s="28" t="s">
        <v>3</v>
      </c>
      <c r="D43" s="28"/>
      <c r="E43" s="29">
        <f ca="1">C32</f>
        <v>1015</v>
      </c>
      <c r="F43" s="30">
        <f ca="1">1/E43</f>
        <v>9.8522167487684722E-4</v>
      </c>
      <c r="G43" s="31">
        <f ca="1">E56</f>
        <v>929.31040172002588</v>
      </c>
      <c r="H43" s="30">
        <f ca="1">1/G43</f>
        <v>1.07606672447563E-3</v>
      </c>
      <c r="I43" s="31">
        <f ca="1">G56</f>
        <v>924.94497369560804</v>
      </c>
      <c r="J43" s="30">
        <f ca="1">1/I43</f>
        <v>1.0811453961466599E-3</v>
      </c>
      <c r="K43" s="31">
        <f ca="1">I56</f>
        <v>924.71302831095113</v>
      </c>
      <c r="L43" s="30">
        <f ca="1">1/K43</f>
        <v>1.0814165793971407E-3</v>
      </c>
      <c r="M43" s="31">
        <f ca="1">K56</f>
        <v>924.70069290797016</v>
      </c>
      <c r="N43" s="30">
        <f ca="1">1/M43</f>
        <v>1.0814310053723771E-3</v>
      </c>
      <c r="O43" s="31"/>
    </row>
    <row r="44" spans="2:15" ht="15.75" x14ac:dyDescent="0.25">
      <c r="B44" s="144" t="s">
        <v>39</v>
      </c>
      <c r="C44" s="28" t="s">
        <v>3</v>
      </c>
      <c r="D44" s="28"/>
      <c r="E44" s="29">
        <f ca="1">C34</f>
        <v>924.7</v>
      </c>
      <c r="F44" s="32"/>
      <c r="G44" s="31">
        <f ca="1">E44</f>
        <v>924.7</v>
      </c>
      <c r="H44" s="33"/>
      <c r="I44" s="31">
        <f ca="1">G44</f>
        <v>924.7</v>
      </c>
      <c r="J44" s="33"/>
      <c r="K44" s="31">
        <f ca="1">I44</f>
        <v>924.7</v>
      </c>
      <c r="L44" s="33"/>
      <c r="M44" s="31">
        <f ca="1">K44</f>
        <v>924.7</v>
      </c>
      <c r="N44" s="33"/>
      <c r="O44" s="31"/>
    </row>
    <row r="45" spans="2:15" ht="15.75" x14ac:dyDescent="0.25">
      <c r="B45" s="145"/>
      <c r="C45" s="23"/>
      <c r="D45" s="23"/>
      <c r="E45" s="34"/>
      <c r="F45" s="35"/>
      <c r="G45" s="36"/>
      <c r="H45" s="10"/>
      <c r="I45" s="36"/>
      <c r="J45" s="10"/>
      <c r="K45" s="36"/>
      <c r="L45" s="10"/>
      <c r="M45" s="36"/>
      <c r="N45" s="10"/>
      <c r="O45" s="36"/>
    </row>
    <row r="46" spans="2:15" ht="15.75" x14ac:dyDescent="0.25">
      <c r="B46" s="144" t="s">
        <v>40</v>
      </c>
      <c r="C46" s="28" t="s">
        <v>23</v>
      </c>
      <c r="D46" s="28"/>
      <c r="E46" s="75">
        <f>C31</f>
        <v>1</v>
      </c>
      <c r="F46" s="150"/>
      <c r="G46" s="76">
        <f ca="1">E55</f>
        <v>1.4282694337825572</v>
      </c>
      <c r="H46" s="151"/>
      <c r="I46" s="76">
        <f ca="1">G55</f>
        <v>1.4596324834476055</v>
      </c>
      <c r="J46" s="151"/>
      <c r="K46" s="76">
        <f ca="1">I55</f>
        <v>1.4613359616765664</v>
      </c>
      <c r="L46" s="151"/>
      <c r="M46" s="76">
        <f ca="1">K55</f>
        <v>1.4614266637819009</v>
      </c>
      <c r="N46" s="10"/>
      <c r="O46" s="37"/>
    </row>
    <row r="47" spans="2:15" ht="15.75" x14ac:dyDescent="0.25">
      <c r="B47" s="144" t="s">
        <v>41</v>
      </c>
      <c r="C47" s="28" t="s">
        <v>42</v>
      </c>
      <c r="D47" s="28"/>
      <c r="E47" s="38">
        <f ca="1">E43*E46</f>
        <v>1015</v>
      </c>
      <c r="F47" s="152"/>
      <c r="G47" s="39">
        <f ca="1">G43*G46</f>
        <v>1327.3056412729022</v>
      </c>
      <c r="H47" s="153"/>
      <c r="I47" s="39">
        <f ca="1">I43*I46</f>
        <v>1350.0797290077005</v>
      </c>
      <c r="J47" s="153"/>
      <c r="K47" s="39">
        <f ca="1">K43*K46</f>
        <v>1351.3164025016338</v>
      </c>
      <c r="L47" s="153"/>
      <c r="M47" s="39">
        <f ca="1">M43*M46</f>
        <v>1351.382248633307</v>
      </c>
      <c r="N47" s="10"/>
      <c r="O47" s="40"/>
    </row>
    <row r="48" spans="2:15" ht="15.75" x14ac:dyDescent="0.25">
      <c r="B48" s="144" t="s">
        <v>43</v>
      </c>
      <c r="C48" s="28" t="s">
        <v>23</v>
      </c>
      <c r="D48" s="28"/>
      <c r="E48" s="73">
        <f ca="1">E46*((E43-E44)/(E44-E42))</f>
        <v>0.43539054966248752</v>
      </c>
      <c r="F48" s="150"/>
      <c r="G48" s="74">
        <f ca="1">G46*((G43-G44)/(G44-G42))</f>
        <v>3.1749738930431162E-2</v>
      </c>
      <c r="H48" s="151"/>
      <c r="I48" s="74">
        <f ca="1">I46*((I43-I44)/(I44-I42))</f>
        <v>1.7240673273849411E-3</v>
      </c>
      <c r="J48" s="151"/>
      <c r="K48" s="74">
        <f ca="1">K46*((K43-K44)/(K44-K42))</f>
        <v>9.1797200157791656E-5</v>
      </c>
      <c r="L48" s="151"/>
      <c r="M48" s="74">
        <f ca="1">M46*((M43-M44)/(M44-M42))</f>
        <v>4.8825177583392279E-6</v>
      </c>
      <c r="N48" s="10"/>
      <c r="O48" s="42"/>
    </row>
    <row r="49" spans="2:15" ht="15.75" x14ac:dyDescent="0.25">
      <c r="B49" s="144" t="s">
        <v>44</v>
      </c>
      <c r="C49" s="28" t="s">
        <v>42</v>
      </c>
      <c r="D49" s="28"/>
      <c r="E49" s="38">
        <f ca="1">E48*E42</f>
        <v>312.30564127290228</v>
      </c>
      <c r="F49" s="152"/>
      <c r="G49" s="39">
        <f ca="1">G48*G42</f>
        <v>22.774087734798272</v>
      </c>
      <c r="H49" s="153"/>
      <c r="I49" s="39">
        <f ca="1">I48*I42</f>
        <v>1.2366734939332182</v>
      </c>
      <c r="J49" s="153"/>
      <c r="K49" s="39">
        <f ca="1">K48*K42</f>
        <v>6.5846131673183955E-2</v>
      </c>
      <c r="L49" s="153"/>
      <c r="M49" s="39">
        <f ca="1">M48*M42</f>
        <v>3.5022299880567279E-3</v>
      </c>
      <c r="N49" s="10"/>
      <c r="O49" s="40"/>
    </row>
    <row r="50" spans="2:15" ht="15.75" x14ac:dyDescent="0.25">
      <c r="B50" s="144" t="s">
        <v>45</v>
      </c>
      <c r="C50" s="28" t="s">
        <v>42</v>
      </c>
      <c r="D50" s="28"/>
      <c r="E50" s="38">
        <f ca="1">E47+E49</f>
        <v>1327.3056412729022</v>
      </c>
      <c r="F50" s="152"/>
      <c r="G50" s="39">
        <f ca="1">G47+G49</f>
        <v>1350.0797290077005</v>
      </c>
      <c r="H50" s="153"/>
      <c r="I50" s="39">
        <f ca="1">I47+I49</f>
        <v>1351.3164025016338</v>
      </c>
      <c r="J50" s="153"/>
      <c r="K50" s="39">
        <f ca="1">K47+K49</f>
        <v>1351.382248633307</v>
      </c>
      <c r="L50" s="153"/>
      <c r="M50" s="39">
        <f ca="1">M47+M49</f>
        <v>1351.385750863295</v>
      </c>
      <c r="N50" s="10"/>
      <c r="O50" s="40"/>
    </row>
    <row r="51" spans="2:15" ht="15.75" x14ac:dyDescent="0.25">
      <c r="B51" s="144" t="s">
        <v>46</v>
      </c>
      <c r="C51" s="28" t="s">
        <v>25</v>
      </c>
      <c r="D51" s="28"/>
      <c r="E51" s="41">
        <f ca="1">E48/(E48+E46)*100</f>
        <v>30.332549546523325</v>
      </c>
      <c r="F51" s="152"/>
      <c r="G51" s="41">
        <f ca="1">G48/(G48+G46)*100</f>
        <v>2.1746110957867915</v>
      </c>
      <c r="H51" s="153"/>
      <c r="I51" s="41">
        <f ca="1">I48/(I48+I46)*100</f>
        <v>0.11797718540835427</v>
      </c>
      <c r="J51" s="153"/>
      <c r="K51" s="41">
        <f ca="1">K48/(K48+K46)*100</f>
        <v>6.2813368365432177E-3</v>
      </c>
      <c r="L51" s="153"/>
      <c r="M51" s="41">
        <f ca="1">M48/(M48+M46)*100</f>
        <v>3.3409144415294371E-4</v>
      </c>
      <c r="N51" s="10"/>
      <c r="O51" s="43"/>
    </row>
    <row r="52" spans="2:15" ht="15.75" x14ac:dyDescent="0.25">
      <c r="B52" s="144" t="s">
        <v>47</v>
      </c>
      <c r="C52" s="10"/>
      <c r="D52" s="23"/>
      <c r="E52" s="73">
        <f ca="1">26900*E51*(100-E51)^0.819*(F42-F43)^2.28</f>
        <v>0.49610998773850923</v>
      </c>
      <c r="F52" s="151"/>
      <c r="G52" s="73">
        <f ca="1">26900*G51*(100-G51)^0.819*(H42-H43)^2.28</f>
        <v>2.6485218318349137E-2</v>
      </c>
      <c r="H52" s="151"/>
      <c r="I52" s="73">
        <f ca="1">26900*I51*(100-I51)^0.819*(J42-J43)^2.28</f>
        <v>1.4089031463993835E-3</v>
      </c>
      <c r="J52" s="151"/>
      <c r="K52" s="73">
        <f ca="1">26900*K51*(100-K51)^0.819*(L42-L43)^2.28</f>
        <v>7.4933216270217252E-5</v>
      </c>
      <c r="L52" s="151"/>
      <c r="M52" s="73">
        <f ca="1">26900*M51*(100-M51)^0.819*(N42-N43)^2.28</f>
        <v>3.9853192472032394E-6</v>
      </c>
      <c r="N52" s="10"/>
      <c r="O52" s="43"/>
    </row>
    <row r="53" spans="2:15" ht="15.75" x14ac:dyDescent="0.25">
      <c r="B53" s="144" t="s">
        <v>48</v>
      </c>
      <c r="C53" s="28" t="s">
        <v>23</v>
      </c>
      <c r="D53" s="28"/>
      <c r="E53" s="73">
        <f ca="1">E46+E48</f>
        <v>1.4353905496624875</v>
      </c>
      <c r="F53" s="151"/>
      <c r="G53" s="73">
        <f ca="1">G46+G48</f>
        <v>1.4600191727129883</v>
      </c>
      <c r="H53" s="154"/>
      <c r="I53" s="73">
        <f ca="1">I46+I48</f>
        <v>1.4613565507749904</v>
      </c>
      <c r="J53" s="154"/>
      <c r="K53" s="73">
        <f ca="1">K46+K48</f>
        <v>1.4614277588767242</v>
      </c>
      <c r="L53" s="154"/>
      <c r="M53" s="73">
        <f ca="1">M46+M48</f>
        <v>1.4614315462996592</v>
      </c>
      <c r="N53" s="44"/>
      <c r="O53" s="43"/>
    </row>
    <row r="54" spans="2:15" ht="15.75" x14ac:dyDescent="0.25">
      <c r="B54" s="144" t="s">
        <v>49</v>
      </c>
      <c r="C54" s="28" t="s">
        <v>23</v>
      </c>
      <c r="D54" s="28"/>
      <c r="E54" s="73">
        <f ca="1">E52/100*E53</f>
        <v>7.1211158799302874E-3</v>
      </c>
      <c r="F54" s="151"/>
      <c r="G54" s="73">
        <f ca="1">G52/100*G53</f>
        <v>3.8668926538278992E-4</v>
      </c>
      <c r="H54" s="151"/>
      <c r="I54" s="73">
        <f ca="1">I52/100*I53</f>
        <v>2.0589098423982345E-5</v>
      </c>
      <c r="J54" s="151"/>
      <c r="K54" s="73">
        <f ca="1">K52/100*K53</f>
        <v>1.0950948231920847E-6</v>
      </c>
      <c r="L54" s="151"/>
      <c r="M54" s="73">
        <f ca="1">M52/100*M53</f>
        <v>5.8242712699380237E-8</v>
      </c>
      <c r="N54" s="10"/>
      <c r="O54" s="43"/>
    </row>
    <row r="55" spans="2:15" ht="15.75" x14ac:dyDescent="0.25">
      <c r="B55" s="144" t="s">
        <v>50</v>
      </c>
      <c r="C55" s="28" t="s">
        <v>23</v>
      </c>
      <c r="D55" s="28"/>
      <c r="E55" s="72">
        <f ca="1">E53-E54</f>
        <v>1.4282694337825572</v>
      </c>
      <c r="F55" s="150"/>
      <c r="G55" s="72">
        <f ca="1">G53-G54</f>
        <v>1.4596324834476055</v>
      </c>
      <c r="H55" s="151"/>
      <c r="I55" s="72">
        <f ca="1">I53-I54</f>
        <v>1.4613359616765664</v>
      </c>
      <c r="J55" s="151"/>
      <c r="K55" s="72">
        <f ca="1">K53-K54</f>
        <v>1.4614266637819009</v>
      </c>
      <c r="L55" s="151"/>
      <c r="M55" s="72">
        <f ca="1">M53-M54</f>
        <v>1.4614314880569466</v>
      </c>
      <c r="N55" s="10"/>
      <c r="O55" s="45"/>
    </row>
    <row r="56" spans="2:15" ht="15.75" x14ac:dyDescent="0.25">
      <c r="B56" s="144" t="s">
        <v>51</v>
      </c>
      <c r="C56" s="28" t="s">
        <v>3</v>
      </c>
      <c r="D56" s="28"/>
      <c r="E56" s="46">
        <f ca="1">E50/E55</f>
        <v>929.31040172002588</v>
      </c>
      <c r="F56" s="155"/>
      <c r="G56" s="46">
        <f ca="1">G50/G55</f>
        <v>924.94497369560804</v>
      </c>
      <c r="H56" s="153"/>
      <c r="I56" s="46">
        <f ca="1">I50/I55</f>
        <v>924.71302831095113</v>
      </c>
      <c r="J56" s="153"/>
      <c r="K56" s="46">
        <f ca="1">K50/K55</f>
        <v>924.70069290797016</v>
      </c>
      <c r="L56" s="153"/>
      <c r="M56" s="46">
        <f ca="1">M50/M55</f>
        <v>924.70003685224856</v>
      </c>
      <c r="N56" s="10"/>
      <c r="O56" s="47"/>
    </row>
    <row r="57" spans="2:15" x14ac:dyDescent="0.2">
      <c r="B57" s="48"/>
      <c r="C57" s="10"/>
      <c r="D57" s="10"/>
      <c r="E57" s="20"/>
      <c r="F57" s="10"/>
      <c r="G57" s="10"/>
      <c r="H57" s="10"/>
      <c r="I57" s="10"/>
      <c r="J57" s="10"/>
      <c r="K57" s="10"/>
      <c r="L57" s="10"/>
      <c r="M57" s="10"/>
      <c r="N57" s="10"/>
      <c r="O57" s="10"/>
    </row>
  </sheetData>
  <mergeCells count="13">
    <mergeCell ref="C30:D30"/>
    <mergeCell ref="L30:M30"/>
    <mergeCell ref="L36:M36"/>
    <mergeCell ref="C31:D31"/>
    <mergeCell ref="C32:D32"/>
    <mergeCell ref="C33:D33"/>
    <mergeCell ref="C34:D34"/>
    <mergeCell ref="M40:N40"/>
    <mergeCell ref="L31:M31"/>
    <mergeCell ref="L32:M32"/>
    <mergeCell ref="L33:M33"/>
    <mergeCell ref="L34:M34"/>
    <mergeCell ref="L35:M35"/>
  </mergeCells>
  <phoneticPr fontId="18" type="noConversion"/>
  <pageMargins left="0.32" right="0.2" top="1" bottom="1" header="0.5" footer="0.5"/>
  <pageSetup scale="55" orientation="landscape" r:id="rId1"/>
  <headerFooter alignWithMargins="0">
    <oddFooter>&amp;C&amp;A
&amp;F&amp;R&amp;D&amp;L&amp;1#&amp;"Calibri"&amp;11&amp;K000000Classification: Protected 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
  <sheetViews>
    <sheetView showGridLines="0" topLeftCell="A2" workbookViewId="0"/>
  </sheetViews>
  <sheetFormatPr defaultRowHeight="12.75" x14ac:dyDescent="0.2"/>
  <cols>
    <col min="1" max="1" width="4.7109375" customWidth="1"/>
  </cols>
  <sheetData/>
  <sheetProtection password="E87C" sheet="1"/>
  <phoneticPr fontId="18" type="noConversion"/>
  <pageMargins left="0.75" right="0.75" top="0.76" bottom="1" header="0.5" footer="0.5"/>
  <pageSetup paperSize="5" scale="68" orientation="portrait" r:id="rId1"/>
  <headerFooter alignWithMargins="0">
    <oddFooter>&amp;C=&amp;A
&amp;Z&amp;F&amp;L&amp;1#&amp;"Calibri"&amp;11&amp;K000000Classification: Protected 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12"/>
  <sheetViews>
    <sheetView workbookViewId="0"/>
  </sheetViews>
  <sheetFormatPr defaultRowHeight="12.75" x14ac:dyDescent="0.2"/>
  <cols>
    <col min="1" max="1" width="2.7109375" customWidth="1"/>
    <col min="2" max="2" width="9.140625" style="158"/>
    <col min="3" max="3" width="184.7109375" bestFit="1" customWidth="1"/>
  </cols>
  <sheetData>
    <row r="1" spans="2:3" ht="13.5" thickBot="1" x14ac:dyDescent="0.25">
      <c r="C1" s="161"/>
    </row>
    <row r="2" spans="2:3" ht="13.5" thickBot="1" x14ac:dyDescent="0.25">
      <c r="B2" s="163" t="s">
        <v>112</v>
      </c>
      <c r="C2" s="167" t="s">
        <v>113</v>
      </c>
    </row>
    <row r="3" spans="2:3" x14ac:dyDescent="0.2">
      <c r="B3" s="164">
        <v>42370</v>
      </c>
      <c r="C3" s="168" t="s">
        <v>124</v>
      </c>
    </row>
    <row r="4" spans="2:3" x14ac:dyDescent="0.2">
      <c r="B4" s="165"/>
      <c r="C4" s="168" t="s">
        <v>114</v>
      </c>
    </row>
    <row r="5" spans="2:3" ht="14.25" x14ac:dyDescent="0.2">
      <c r="B5" s="165"/>
      <c r="C5" s="168" t="s">
        <v>115</v>
      </c>
    </row>
    <row r="6" spans="2:3" x14ac:dyDescent="0.2">
      <c r="B6" s="165"/>
      <c r="C6" s="168" t="s">
        <v>116</v>
      </c>
    </row>
    <row r="7" spans="2:3" x14ac:dyDescent="0.2">
      <c r="B7" s="165"/>
      <c r="C7" s="168" t="s">
        <v>125</v>
      </c>
    </row>
    <row r="8" spans="2:3" x14ac:dyDescent="0.2">
      <c r="B8" s="165"/>
      <c r="C8" s="168" t="s">
        <v>117</v>
      </c>
    </row>
    <row r="9" spans="2:3" ht="14.25" x14ac:dyDescent="0.2">
      <c r="B9" s="165"/>
      <c r="C9" s="168" t="s">
        <v>118</v>
      </c>
    </row>
    <row r="10" spans="2:3" x14ac:dyDescent="0.2">
      <c r="B10" s="165"/>
      <c r="C10" s="168" t="s">
        <v>120</v>
      </c>
    </row>
    <row r="11" spans="2:3" ht="13.5" thickBot="1" x14ac:dyDescent="0.25">
      <c r="B11" s="166"/>
      <c r="C11" s="169" t="s">
        <v>119</v>
      </c>
    </row>
    <row r="12" spans="2:3" ht="13.5" thickBot="1" x14ac:dyDescent="0.25">
      <c r="B12" s="172">
        <v>42670</v>
      </c>
      <c r="C12" s="173" t="s">
        <v>135</v>
      </c>
    </row>
  </sheetData>
  <sheetProtection password="E87C" sheet="1"/>
  <pageMargins left="0.7" right="0.7" top="0.75" bottom="0.75" header="0.3" footer="0.3"/>
  <pageSetup orientation="portrait" r:id="rId1"/>
  <headerFooter>
    <oddFooter>&amp;L&amp;1#&amp;"Calibri"&amp;11&amp;K000000Classification: Protected 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185</vt:i4>
      </vt:variant>
    </vt:vector>
  </HeadingPairs>
  <TitlesOfParts>
    <vt:vector size="191" baseType="lpstr">
      <vt:lpstr>Instructions</vt:lpstr>
      <vt:lpstr>Inputs &amp; Results</vt:lpstr>
      <vt:lpstr>Calculation</vt:lpstr>
      <vt:lpstr>Data Tables</vt:lpstr>
      <vt:lpstr>Definitions</vt:lpstr>
      <vt:lpstr>Log of Changes</vt:lpstr>
      <vt:lpstr>Apr_Bitumen_Den</vt:lpstr>
      <vt:lpstr>Apr_Bitumen_Value</vt:lpstr>
      <vt:lpstr>Apr_BVM_Dilbit_Den</vt:lpstr>
      <vt:lpstr>Apr_Cdn_Bitumen_Value</vt:lpstr>
      <vt:lpstr>Apr_Cdn_Dilbit_Value</vt:lpstr>
      <vt:lpstr>Apr_CRW_Den</vt:lpstr>
      <vt:lpstr>Apr_CRW_Price</vt:lpstr>
      <vt:lpstr>Apr_CRW_Vol</vt:lpstr>
      <vt:lpstr>Apr_Dilbit_Value</vt:lpstr>
      <vt:lpstr>Apr_Dilbit_Vol</vt:lpstr>
      <vt:lpstr>Apr_FX</vt:lpstr>
      <vt:lpstr>Apr_Synbit_Prem.</vt:lpstr>
      <vt:lpstr>Apr_WCS_Den</vt:lpstr>
      <vt:lpstr>Apr_WCS_Dilbit_Ratio</vt:lpstr>
      <vt:lpstr>Apr_WCS_Price</vt:lpstr>
      <vt:lpstr>Aug_Bitumen_Den</vt:lpstr>
      <vt:lpstr>Aug_Bitumen_Value</vt:lpstr>
      <vt:lpstr>Aug_BVM_Dilbit_Den</vt:lpstr>
      <vt:lpstr>Aug_Cdn_Bitumen_Value</vt:lpstr>
      <vt:lpstr>Aug_Cdn_Dilbit_Value</vt:lpstr>
      <vt:lpstr>Aug_CRW_Den</vt:lpstr>
      <vt:lpstr>Aug_CRW_Price</vt:lpstr>
      <vt:lpstr>Aug_CRW_Vol</vt:lpstr>
      <vt:lpstr>Aug_Dilbit_Value</vt:lpstr>
      <vt:lpstr>Aug_Dilbit_Vol</vt:lpstr>
      <vt:lpstr>Aug_FX</vt:lpstr>
      <vt:lpstr>Aug_Synbit_Prem.</vt:lpstr>
      <vt:lpstr>Aug_WCS_Den</vt:lpstr>
      <vt:lpstr>Aug_WCS_Dilbit_Ratio</vt:lpstr>
      <vt:lpstr>Aug_WCS_Price</vt:lpstr>
      <vt:lpstr>Dec_Bitumen_Den</vt:lpstr>
      <vt:lpstr>Dec_Bitumen_Value</vt:lpstr>
      <vt:lpstr>Dec_BVM_Dilbit_Den</vt:lpstr>
      <vt:lpstr>Dec_Cdn_Bitumen_Value</vt:lpstr>
      <vt:lpstr>Dec_Cdn_Dilbit_Value</vt:lpstr>
      <vt:lpstr>Dec_CRW_Den</vt:lpstr>
      <vt:lpstr>Dec_CRW_Price</vt:lpstr>
      <vt:lpstr>Dec_CRW_Vol</vt:lpstr>
      <vt:lpstr>Dec_Dilbit_Value</vt:lpstr>
      <vt:lpstr>Dec_Dilbit_Vol</vt:lpstr>
      <vt:lpstr>Dec_FX</vt:lpstr>
      <vt:lpstr>Dec_Synbit_Prem.</vt:lpstr>
      <vt:lpstr>Dec_WCS_Den</vt:lpstr>
      <vt:lpstr>Dec_WCS_Dilbit_Ratio</vt:lpstr>
      <vt:lpstr>Dec_WCS_Price</vt:lpstr>
      <vt:lpstr>Feb_Bitumen_Den</vt:lpstr>
      <vt:lpstr>Feb_Bitumen_Value</vt:lpstr>
      <vt:lpstr>Feb_BVM_Dilbit_Den</vt:lpstr>
      <vt:lpstr>Feb_Cdn_Bitumen_Value</vt:lpstr>
      <vt:lpstr>Feb_Cdn_Dilbit_Value</vt:lpstr>
      <vt:lpstr>Feb_CRW_Den</vt:lpstr>
      <vt:lpstr>Feb_CRW_Price</vt:lpstr>
      <vt:lpstr>Feb_CRW_Vol</vt:lpstr>
      <vt:lpstr>Feb_Dilbit_Value</vt:lpstr>
      <vt:lpstr>Feb_Dilbit_Vol</vt:lpstr>
      <vt:lpstr>Feb_FX</vt:lpstr>
      <vt:lpstr>Feb_Synbit_Prem.</vt:lpstr>
      <vt:lpstr>Feb_WCS_Den</vt:lpstr>
      <vt:lpstr>Feb_WCS_Dilbit_Ratio</vt:lpstr>
      <vt:lpstr>Feb_WCS_Price</vt:lpstr>
      <vt:lpstr>Hvy_m3_to_bbl</vt:lpstr>
      <vt:lpstr>Jan_Bitumen_Den</vt:lpstr>
      <vt:lpstr>Jan_Bitumen_Value</vt:lpstr>
      <vt:lpstr>Jan_BVM_Dilbit_Den</vt:lpstr>
      <vt:lpstr>Jan_Cdn_Bitumen_Value</vt:lpstr>
      <vt:lpstr>Jan_Cdn_Dilbit_Value</vt:lpstr>
      <vt:lpstr>Jan_CRW_Den</vt:lpstr>
      <vt:lpstr>Jan_CRW_Price</vt:lpstr>
      <vt:lpstr>Jan_CRW_Vol</vt:lpstr>
      <vt:lpstr>Jan_Dilbit_Value</vt:lpstr>
      <vt:lpstr>Jan_Dilbit_Vol</vt:lpstr>
      <vt:lpstr>Jan_FX</vt:lpstr>
      <vt:lpstr>Jan_Synbit_Prem.</vt:lpstr>
      <vt:lpstr>Jan_WCS_Den</vt:lpstr>
      <vt:lpstr>Jan_WCS_Dilbit_Ratio</vt:lpstr>
      <vt:lpstr>Jan_WCS_Price</vt:lpstr>
      <vt:lpstr>Jul_Bitumen_Den</vt:lpstr>
      <vt:lpstr>Jul_Bitumen_Value</vt:lpstr>
      <vt:lpstr>Jul_BVM_Dilbit_Den</vt:lpstr>
      <vt:lpstr>Jul_Cdn_Bitumen_Value</vt:lpstr>
      <vt:lpstr>Jul_Cdn_Dilbit_Value</vt:lpstr>
      <vt:lpstr>Jul_CRW_Den</vt:lpstr>
      <vt:lpstr>Jul_CRW_Price</vt:lpstr>
      <vt:lpstr>Jul_CRW_Vol</vt:lpstr>
      <vt:lpstr>Jul_Dilbit_Value</vt:lpstr>
      <vt:lpstr>Jul_Dilbit_Vol</vt:lpstr>
      <vt:lpstr>Jul_FX</vt:lpstr>
      <vt:lpstr>Jul_Synbit_Prem.</vt:lpstr>
      <vt:lpstr>Jul_WCS_Den</vt:lpstr>
      <vt:lpstr>Jul_WCS_Dilbit_Ratio</vt:lpstr>
      <vt:lpstr>Jul_WCS_Price</vt:lpstr>
      <vt:lpstr>Jun_Bitumen_Den</vt:lpstr>
      <vt:lpstr>Jun_Bitumen_Value</vt:lpstr>
      <vt:lpstr>Jun_BVM_Dilbit_Den</vt:lpstr>
      <vt:lpstr>Jun_Cdn_Bitumen_Value</vt:lpstr>
      <vt:lpstr>Jun_Cdn_Dilbit_Value</vt:lpstr>
      <vt:lpstr>Jun_CRW_Den</vt:lpstr>
      <vt:lpstr>Jun_CRW_Price</vt:lpstr>
      <vt:lpstr>Jun_CRW_Vol</vt:lpstr>
      <vt:lpstr>Jun_Dilbit_Value</vt:lpstr>
      <vt:lpstr>Jun_Dilbit_Vol</vt:lpstr>
      <vt:lpstr>Jun_FX</vt:lpstr>
      <vt:lpstr>Jun_Synbit_Prem.</vt:lpstr>
      <vt:lpstr>Jun_WCS_Den</vt:lpstr>
      <vt:lpstr>Jun_WCS_Dilbit_Ratio</vt:lpstr>
      <vt:lpstr>Jun_WCS_Price</vt:lpstr>
      <vt:lpstr>Mar_Bitumen_Den</vt:lpstr>
      <vt:lpstr>Mar_Bitumen_Value</vt:lpstr>
      <vt:lpstr>Mar_BVM_Dilbit_Den</vt:lpstr>
      <vt:lpstr>Mar_Cdn_Bitumen_Value</vt:lpstr>
      <vt:lpstr>Mar_Cdn_Dilbit_Value</vt:lpstr>
      <vt:lpstr>Mar_CRW_Den</vt:lpstr>
      <vt:lpstr>Mar_CRW_Price</vt:lpstr>
      <vt:lpstr>Mar_CRW_Vol</vt:lpstr>
      <vt:lpstr>Mar_Dilbit_Value</vt:lpstr>
      <vt:lpstr>Mar_Dilbit_Vol</vt:lpstr>
      <vt:lpstr>Mar_FX</vt:lpstr>
      <vt:lpstr>Mar_Synbit_Prem.</vt:lpstr>
      <vt:lpstr>Mar_WCS_Den</vt:lpstr>
      <vt:lpstr>Mar_WCS_Dilbit_Ratio</vt:lpstr>
      <vt:lpstr>Mar_WCS_Price</vt:lpstr>
      <vt:lpstr>May_Bitumen_Den</vt:lpstr>
      <vt:lpstr>May_Bitumen_Value</vt:lpstr>
      <vt:lpstr>May_BVM_Dilbit_Den</vt:lpstr>
      <vt:lpstr>May_Cdn_Bitumen_Value</vt:lpstr>
      <vt:lpstr>May_Cdn_Dilbit_Value</vt:lpstr>
      <vt:lpstr>May_CRW_Den</vt:lpstr>
      <vt:lpstr>May_CRW_Price</vt:lpstr>
      <vt:lpstr>May_CRW_Vol</vt:lpstr>
      <vt:lpstr>May_Dilbit_Value</vt:lpstr>
      <vt:lpstr>May_Dilbit_Vol</vt:lpstr>
      <vt:lpstr>May_FX</vt:lpstr>
      <vt:lpstr>May_Synbit_Prem.</vt:lpstr>
      <vt:lpstr>May_WCS_Den</vt:lpstr>
      <vt:lpstr>May_WCS_Dilbit_Ratio</vt:lpstr>
      <vt:lpstr>May_WCS_Price</vt:lpstr>
      <vt:lpstr>Nov_Bitumen_Den</vt:lpstr>
      <vt:lpstr>Nov_Bitumen_Value</vt:lpstr>
      <vt:lpstr>Nov_BVM_Dilbit_Den</vt:lpstr>
      <vt:lpstr>Nov_Cdn_Bitumen_Value</vt:lpstr>
      <vt:lpstr>Nov_Cdn_Dilbit_Value</vt:lpstr>
      <vt:lpstr>Nov_CRW_Den</vt:lpstr>
      <vt:lpstr>Nov_CRW_Price</vt:lpstr>
      <vt:lpstr>Nov_CRW_Vol</vt:lpstr>
      <vt:lpstr>Nov_Dilbit_Value</vt:lpstr>
      <vt:lpstr>Nov_Dilbit_Vol</vt:lpstr>
      <vt:lpstr>Nov_FX</vt:lpstr>
      <vt:lpstr>Nov_Synbit_Prem.</vt:lpstr>
      <vt:lpstr>Nov_WCS_Den</vt:lpstr>
      <vt:lpstr>Nov_WCS_Dilbit_Ratio</vt:lpstr>
      <vt:lpstr>Nov_WCS_Price</vt:lpstr>
      <vt:lpstr>Oct_Bitumen_Den</vt:lpstr>
      <vt:lpstr>Oct_Bitumen_Value</vt:lpstr>
      <vt:lpstr>Oct_BVM_Dilbit_Den</vt:lpstr>
      <vt:lpstr>Oct_Cdn_Bitumen_Value</vt:lpstr>
      <vt:lpstr>Oct_Cdn_Dilbit_Value</vt:lpstr>
      <vt:lpstr>Oct_CRW_Den</vt:lpstr>
      <vt:lpstr>Oct_CRW_Price</vt:lpstr>
      <vt:lpstr>Oct_CRW_Vol</vt:lpstr>
      <vt:lpstr>Oct_Dilbit_Value</vt:lpstr>
      <vt:lpstr>Oct_Dilbit_Vol</vt:lpstr>
      <vt:lpstr>Oct_FX</vt:lpstr>
      <vt:lpstr>Oct_Synbit_Prem.</vt:lpstr>
      <vt:lpstr>Oct_WCS_Den</vt:lpstr>
      <vt:lpstr>Oct_WCS_Dilbit_Ratio</vt:lpstr>
      <vt:lpstr>Oct_WCS_Price</vt:lpstr>
      <vt:lpstr>'Inputs &amp; Results'!Print_Area</vt:lpstr>
      <vt:lpstr>'Inputs &amp; Results'!Print_Titles</vt:lpstr>
      <vt:lpstr>Quality_Adjustment</vt:lpstr>
      <vt:lpstr>Sep_Bitumen_Den</vt:lpstr>
      <vt:lpstr>Sep_Bitumen_Value</vt:lpstr>
      <vt:lpstr>Sep_BVM_Dilbit_Den</vt:lpstr>
      <vt:lpstr>Sep_Cdn_Bitumen_Value</vt:lpstr>
      <vt:lpstr>Sep_Cdn_Dilbit_Value</vt:lpstr>
      <vt:lpstr>Sep_CRW_Den</vt:lpstr>
      <vt:lpstr>Sep_CRW_Price</vt:lpstr>
      <vt:lpstr>Sep_CRW_Vol</vt:lpstr>
      <vt:lpstr>Sep_Dilbit_Value</vt:lpstr>
      <vt:lpstr>Sep_Dilbit_Vol</vt:lpstr>
      <vt:lpstr>Sep_FX</vt:lpstr>
      <vt:lpstr>Sep_Synbit_Prem.</vt:lpstr>
      <vt:lpstr>Sep_WCS_Den</vt:lpstr>
      <vt:lpstr>Sep_WCS_Dilbit_Ratio</vt:lpstr>
      <vt:lpstr>Sep_WCS_Price</vt:lpstr>
      <vt:lpstr>Synbit.Dilbit_Density_Diff.</vt:lpstr>
    </vt:vector>
  </TitlesOfParts>
  <Company>EnCana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gflahert</dc:creator>
  <cp:lastModifiedBy>yolanda.han</cp:lastModifiedBy>
  <cp:lastPrinted>2020-07-21T22:01:35Z</cp:lastPrinted>
  <dcterms:created xsi:type="dcterms:W3CDTF">2007-01-04T18:13:36Z</dcterms:created>
  <dcterms:modified xsi:type="dcterms:W3CDTF">2021-01-21T19:23:24Z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2021-01-21T19:23:23Z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88241416-bc37-4391-9179-0000c3b54aa9</vt:lpwstr>
  </property>
  <property fmtid="{D5CDD505-2E9C-101B-9397-08002B2CF9AE}" pid="8" name="MSIP_Label_abf2ea38-542c-4b75-bd7d-582ec36a519f_ContentBits">
    <vt:lpwstr>2</vt:lpwstr>
  </property>
</Properties>
</file>